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D:\GLJ Business\Freebies\Email required\Employee replacement costs\"/>
    </mc:Choice>
  </mc:AlternateContent>
  <xr:revisionPtr revIDLastSave="0" documentId="13_ncr:1_{2522CF58-F6D5-45DD-A204-0F67FCB8E64E}" xr6:coauthVersionLast="47" xr6:coauthVersionMax="47" xr10:uidLastSave="{00000000-0000-0000-0000-000000000000}"/>
  <bookViews>
    <workbookView xWindow="-120" yWindow="-120" windowWidth="20730" windowHeight="11760" tabRatio="683" xr2:uid="{00000000-000D-0000-FFFF-FFFF00000000}"/>
  </bookViews>
  <sheets>
    <sheet name="About" sheetId="8" r:id="rId1"/>
    <sheet name="Base numbers" sheetId="1" r:id="rId2"/>
    <sheet name="Impact costs" sheetId="3" r:id="rId3"/>
    <sheet name="Recruiting &amp; hiring" sheetId="4" r:id="rId4"/>
    <sheet name="Training &amp; ramp-up" sheetId="5" r:id="rId5"/>
    <sheet name="Failure costs" sheetId="7" r:id="rId6"/>
    <sheet name="Total costs"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3" l="1"/>
  <c r="B53" i="4" l="1"/>
  <c r="B39" i="1"/>
  <c r="B40" i="1" s="1"/>
  <c r="B13" i="4"/>
  <c r="B15" i="4"/>
  <c r="B32" i="4"/>
  <c r="B31" i="4"/>
  <c r="B30" i="4"/>
  <c r="B44" i="1"/>
  <c r="B45" i="1" s="1"/>
  <c r="B34" i="1"/>
  <c r="B35" i="1" s="1"/>
  <c r="B29" i="1"/>
  <c r="B30" i="1" s="1"/>
  <c r="B23" i="1"/>
  <c r="B24" i="1" s="1"/>
  <c r="B18" i="1"/>
  <c r="B19" i="1" s="1"/>
  <c r="B8" i="7" l="1"/>
  <c r="B15" i="7" s="1"/>
  <c r="B12" i="6" s="1"/>
  <c r="B15" i="3" l="1"/>
  <c r="B12" i="1" l="1"/>
  <c r="B13" i="1" s="1"/>
  <c r="B53" i="1" l="1"/>
  <c r="B18" i="4"/>
  <c r="B16" i="4"/>
  <c r="B14" i="4"/>
  <c r="B45" i="4"/>
  <c r="B47" i="4" s="1"/>
  <c r="B24" i="3"/>
  <c r="B34" i="3"/>
  <c r="B41" i="4" l="1"/>
  <c r="B22" i="5"/>
  <c r="B35" i="4"/>
  <c r="B18" i="3"/>
  <c r="B19" i="3" s="1"/>
  <c r="B9" i="3"/>
  <c r="B10" i="5"/>
  <c r="B17" i="5"/>
  <c r="B25" i="4"/>
  <c r="B21" i="5"/>
  <c r="B20" i="5"/>
  <c r="B19" i="4"/>
  <c r="B33" i="4"/>
  <c r="B7" i="1"/>
  <c r="B23" i="5" l="1"/>
  <c r="B25" i="5" s="1"/>
  <c r="B13" i="6" s="1"/>
  <c r="B8" i="1" l="1"/>
  <c r="B50" i="1" s="1"/>
  <c r="B28" i="3" l="1"/>
  <c r="B29" i="3" s="1"/>
  <c r="B8" i="3"/>
  <c r="B11" i="3" s="1"/>
  <c r="B7" i="4"/>
  <c r="B8" i="4" s="1"/>
  <c r="B55" i="4" s="1"/>
  <c r="B11" i="6" s="1"/>
  <c r="B51" i="1"/>
  <c r="B49" i="1"/>
  <c r="B44" i="3" l="1"/>
  <c r="B10" i="6" s="1"/>
  <c r="B14" i="6" s="1"/>
</calcChain>
</file>

<file path=xl/sharedStrings.xml><?xml version="1.0" encoding="utf-8"?>
<sst xmlns="http://schemas.openxmlformats.org/spreadsheetml/2006/main" count="258" uniqueCount="235">
  <si>
    <t>Replacement at 15%</t>
  </si>
  <si>
    <t>Replacement at 33%</t>
  </si>
  <si>
    <t>Lost productivity</t>
  </si>
  <si>
    <t>Backfilling for the vacant position</t>
  </si>
  <si>
    <t>Percentage (see instructions)</t>
  </si>
  <si>
    <t>Lost productivity for vacant position</t>
  </si>
  <si>
    <t>Lost productivity for backfilling employee</t>
  </si>
  <si>
    <t>Overtime pay, if any</t>
  </si>
  <si>
    <t>Other costs</t>
  </si>
  <si>
    <t>Team employees</t>
  </si>
  <si>
    <t>Sunk training cost</t>
  </si>
  <si>
    <t>Severance pay</t>
  </si>
  <si>
    <t>Knowledge loss</t>
  </si>
  <si>
    <t>Years of service</t>
  </si>
  <si>
    <t xml:space="preserve">The costs of losing knowledge, skills, and contacts. </t>
  </si>
  <si>
    <t>Cost</t>
  </si>
  <si>
    <t>Unemployment &amp; legal</t>
  </si>
  <si>
    <t>Increased unemployment premiums</t>
  </si>
  <si>
    <t>Legal fees</t>
  </si>
  <si>
    <t>Customer retention</t>
  </si>
  <si>
    <t>Number of lost customers</t>
  </si>
  <si>
    <t>Lifetime value of a customer</t>
  </si>
  <si>
    <t>OR</t>
  </si>
  <si>
    <t>Cost to retain a customer</t>
  </si>
  <si>
    <t>Advertising</t>
  </si>
  <si>
    <t>Recruiting</t>
  </si>
  <si>
    <t>External recruiter</t>
  </si>
  <si>
    <t>25% of annual compensation package</t>
  </si>
  <si>
    <t>Internal HR time</t>
  </si>
  <si>
    <t>Review position requirements, write or review job description</t>
  </si>
  <si>
    <t>Determine sourcing strategy</t>
  </si>
  <si>
    <t>Initial review of resumes</t>
  </si>
  <si>
    <t>Prepare for and conduct interviews</t>
  </si>
  <si>
    <t>Discuss candidates with hiring manager</t>
  </si>
  <si>
    <t>Conduct reference checks</t>
  </si>
  <si>
    <t>Make and negotiate offer</t>
  </si>
  <si>
    <t>Notify unsuccessful candidates</t>
  </si>
  <si>
    <t>Hiring department's time</t>
  </si>
  <si>
    <t>How many involved?</t>
  </si>
  <si>
    <t>Review position requirements with HR</t>
  </si>
  <si>
    <t>Drug screens</t>
  </si>
  <si>
    <t>Pre-employment testing</t>
  </si>
  <si>
    <t>Enter data for any style or skills assessments you use.</t>
  </si>
  <si>
    <t>Onboarding and orientation</t>
  </si>
  <si>
    <t>Employee's time</t>
  </si>
  <si>
    <t>HR's time</t>
  </si>
  <si>
    <t>Hiring manager's time</t>
  </si>
  <si>
    <t>Skills- and position-specific training</t>
  </si>
  <si>
    <t>Trainer's time</t>
  </si>
  <si>
    <t>Support from team</t>
  </si>
  <si>
    <t>Impact costs</t>
  </si>
  <si>
    <t>Fill in total overtime pay required to compensate employees backfilling the vacant position</t>
  </si>
  <si>
    <t>Total backfill costs</t>
  </si>
  <si>
    <t>Total other costs</t>
  </si>
  <si>
    <t>Benefits continuation</t>
  </si>
  <si>
    <t>Total severance</t>
  </si>
  <si>
    <t>Total knowledge loss</t>
  </si>
  <si>
    <t>Total fees</t>
  </si>
  <si>
    <t>Cost of any training offered, in-house, externally, certificates, etc., paid for by the company. Include initial onboarding costs</t>
  </si>
  <si>
    <t>Estimate the percentage of lost productivity from the team due to the disruption - missed deadlines, gossip, people who need to do extra work</t>
  </si>
  <si>
    <t>Number of employees directly involved with the departing employee.</t>
  </si>
  <si>
    <t>Enter the amount, if any, of severance pay provided.</t>
  </si>
  <si>
    <t>If this person had direct contact with customers - sales or advanced customer support, for instance - how many customers will leave with them?</t>
  </si>
  <si>
    <t>Total customer retention costs</t>
  </si>
  <si>
    <t>TOTAL IMPACT COST</t>
  </si>
  <si>
    <t>Leave fields blank if not relevant. For instance, if you're not paying for any advertising, leave that field at zero.</t>
  </si>
  <si>
    <t>Recruiting costs</t>
  </si>
  <si>
    <t>Recruiting &amp; hiring</t>
  </si>
  <si>
    <t>Enter the number of hours involved for each task, if different from estimates shown</t>
  </si>
  <si>
    <t>Test One</t>
  </si>
  <si>
    <t>Test Two</t>
  </si>
  <si>
    <t>Test Three</t>
  </si>
  <si>
    <t>Total pre-employment testing</t>
  </si>
  <si>
    <t>Average costs, according to SHRM, are between $10 and $30</t>
  </si>
  <si>
    <t>Education, credit, and criminal background checks</t>
  </si>
  <si>
    <t>Going on averages, this is $10 for education, $8 for credit, and $20 for criminal</t>
  </si>
  <si>
    <t>Any other verification you perform</t>
  </si>
  <si>
    <t>Enter costs for any other verifications you conduct</t>
  </si>
  <si>
    <t>Total background checks</t>
  </si>
  <si>
    <t>Update the numbers with your actual costs, if different</t>
  </si>
  <si>
    <t>TOTAL RECRUITING &amp; HIRING COSTS</t>
  </si>
  <si>
    <t>Work hours per year</t>
  </si>
  <si>
    <t>Total hours</t>
  </si>
  <si>
    <t>Hiring manager and any team members who will be involved in the interview and selection process; does not include HR (they're accounted for above)</t>
  </si>
  <si>
    <t>Schedule, prepare for, and conduct interviews</t>
  </si>
  <si>
    <t>Total cost of internal HR time</t>
  </si>
  <si>
    <t>Total cost of hiring department's time</t>
  </si>
  <si>
    <t>Internal candidate evaluation time</t>
  </si>
  <si>
    <t>Is the position open to internal candidates? If so, complete this section</t>
  </si>
  <si>
    <t>Internal candidates' average annual compensation</t>
  </si>
  <si>
    <t>Total cost to evaluate internal candidates</t>
  </si>
  <si>
    <t>Hours</t>
  </si>
  <si>
    <t>Number of candidates reaching final round</t>
  </si>
  <si>
    <t>For the hiring manager only</t>
  </si>
  <si>
    <t>Number of internal candidates</t>
  </si>
  <si>
    <t>Calculated at 1.5 hours for each person involved (HR, hiring manager, candidate) to schedule, conduct, and evaluate interviews</t>
  </si>
  <si>
    <t>New employee ramp-up to productivity</t>
  </si>
  <si>
    <t>Outgoing employee's compensation package</t>
  </si>
  <si>
    <t>Incoming employee's compensation package</t>
  </si>
  <si>
    <t>Salary</t>
  </si>
  <si>
    <t>Benefits</t>
  </si>
  <si>
    <t>Average HR compensation</t>
  </si>
  <si>
    <t>Average hiring dept compensation</t>
  </si>
  <si>
    <t>15% for 4 weeks; 10% for the next 4 weeks; 5% for the remaining 12 weeks</t>
  </si>
  <si>
    <t>25% for 4 weeks; 50% for the next 8 weeks; 75% for 8 weeks</t>
  </si>
  <si>
    <t>10% for 8 weeks; 5% for 12 weeks</t>
  </si>
  <si>
    <t>Total ramp-up time cost</t>
  </si>
  <si>
    <t>Total onboarding and orientation cost</t>
  </si>
  <si>
    <t>Total skills- and position-specific cost</t>
  </si>
  <si>
    <t>Impact</t>
  </si>
  <si>
    <t>Training &amp; ramp-up</t>
  </si>
  <si>
    <t>Total cost:</t>
  </si>
  <si>
    <t>15 to 33 percent of total compensation is the typical range suggested by most sources.</t>
  </si>
  <si>
    <t>Total compensation</t>
  </si>
  <si>
    <t>Hiring manager's compensation</t>
  </si>
  <si>
    <t>Number of candidates being evaluated</t>
  </si>
  <si>
    <t>HR manager's compensation</t>
  </si>
  <si>
    <t>Adjusted sunk training cost</t>
  </si>
  <si>
    <t>Costs of failure</t>
  </si>
  <si>
    <t>Team members affected</t>
  </si>
  <si>
    <t xml:space="preserve">Cost of poor management </t>
  </si>
  <si>
    <t>Costs of disengaged employees</t>
  </si>
  <si>
    <t>How many people are on the failing leader's team?</t>
  </si>
  <si>
    <t>Include costs of lost business if the project was customer-facing</t>
  </si>
  <si>
    <t>Failure</t>
  </si>
  <si>
    <t>Costs of quitting employees</t>
  </si>
  <si>
    <t>Total cost of failure</t>
  </si>
  <si>
    <t>Benefits % of total compensation</t>
  </si>
  <si>
    <t>The outgoing employee's salary</t>
  </si>
  <si>
    <t>The outgoing employee's benefits (calculated from the base salary and percent of total compensation)</t>
  </si>
  <si>
    <t>The outgoing employee's total compensation package</t>
  </si>
  <si>
    <t>Typical replacement costs suggested by most sources</t>
  </si>
  <si>
    <t>Assumes two weeks' paid vacation and 10 federal holidays, for a total of 48 actual workweeks at 40 hours per week. Adjust as necessary for your situation.</t>
  </si>
  <si>
    <t>Expected (or actual, if already hired) salary of the new employee</t>
  </si>
  <si>
    <t>New employee's benefits (calculated from the base salary and percentage of total compensation)</t>
  </si>
  <si>
    <t>The incoming employee's total compensation package</t>
  </si>
  <si>
    <t>HR manager's base salary</t>
  </si>
  <si>
    <t>HR manager's benefits</t>
  </si>
  <si>
    <t>Calculated from the base salary and percentage of total compensation</t>
  </si>
  <si>
    <t>Average HR staff salaries</t>
  </si>
  <si>
    <t>HR staff benefits</t>
  </si>
  <si>
    <t>Hiring manager's base salary</t>
  </si>
  <si>
    <t>Hiring manager's benefits</t>
  </si>
  <si>
    <t>Enter the hiring manager's base pay</t>
  </si>
  <si>
    <t>Average hiring department team salaries</t>
  </si>
  <si>
    <t>Enter the average salary for all non-management staff involved from the department or team with which the new employee will work</t>
  </si>
  <si>
    <t>Hiring department team's benefits</t>
  </si>
  <si>
    <t>Trainer's base salary</t>
  </si>
  <si>
    <t>If there's more than one trainer involved, enter the average salary for all involved.</t>
  </si>
  <si>
    <t>Trainer's benefits</t>
  </si>
  <si>
    <t>Trainer's compensation</t>
  </si>
  <si>
    <t>Enter the amount, if any, of benefits continuation expense</t>
  </si>
  <si>
    <t>Enter the amount of premium increase</t>
  </si>
  <si>
    <t>Enter the amount of any legal fees paid or anticipated due to terminating this employee</t>
  </si>
  <si>
    <t>Discuss candidates within department</t>
  </si>
  <si>
    <t>Discuss candidates with HR</t>
  </si>
  <si>
    <t>HR manager's time</t>
  </si>
  <si>
    <t>Number of resumes received</t>
  </si>
  <si>
    <t>HR staff time; 15 minutes per resume on average</t>
  </si>
  <si>
    <t>HR staff time, at two hours per candidate</t>
  </si>
  <si>
    <t>HR staff time, at three hours per final-round candidate</t>
  </si>
  <si>
    <t>HR staff time, at a half hour per unsuccessful candidate</t>
  </si>
  <si>
    <t>HR manager's time, at a half hour per candidate</t>
  </si>
  <si>
    <t>Internal candidate average salary</t>
  </si>
  <si>
    <t>Enter the average salary for all internal candidates applying for the position</t>
  </si>
  <si>
    <t>Average internal candidates' compensation</t>
  </si>
  <si>
    <t>Internal candidates' benefits</t>
  </si>
  <si>
    <t>Background checks for the final candidate</t>
  </si>
  <si>
    <t>Assumes the FINAL-ROUND candidates will be administered these assessments, NOT the full pool of candidates interviewed</t>
  </si>
  <si>
    <t>Uses the average team compensation from the Base Number / Hiring Department calculation</t>
  </si>
  <si>
    <t>The calculations assume this will be done by an HR staff member, not the HR manager</t>
  </si>
  <si>
    <t>Enter the appropriate numbers for your situation</t>
  </si>
  <si>
    <t>Total costs</t>
  </si>
  <si>
    <t>Gallup estimates up to 34% of an employee's salary is lost when they are disengaged, due to lost productivity, absenteeism, tardiness, etc. To be conservative the spreadsheet uses 15%</t>
  </si>
  <si>
    <t>Duration of vacancy</t>
  </si>
  <si>
    <t>The number of days the position is vacant. 45 is a number suggested by various sources, but it's often longer.</t>
  </si>
  <si>
    <t>Using the average team salary for the hiring department from the Base Numbers page, this is based on the percentage of backfill required.</t>
  </si>
  <si>
    <t>Calculated using the average compensation for the hiring department team shown on the Base Numbers sheet, along with the duration of vacantcy and the percentage of lost productivity.</t>
  </si>
  <si>
    <t>Note: all salaries entered in the examples are drawn from the lower end of the pay scales found online at Indeed.com and Glassdoor.com</t>
  </si>
  <si>
    <t xml:space="preserve">Enter the average salary for all non-HR Management staff involved. </t>
  </si>
  <si>
    <t>Enter the HR Manager's base salary.</t>
  </si>
  <si>
    <t>Employee salaries and benefits</t>
  </si>
  <si>
    <t>HR salaries and benefits</t>
  </si>
  <si>
    <t>Hiring department salaries and benefits</t>
  </si>
  <si>
    <t>Other important numbers</t>
  </si>
  <si>
    <t>Severance costs</t>
  </si>
  <si>
    <t>HR manager</t>
  </si>
  <si>
    <t>HR staff</t>
  </si>
  <si>
    <t>Hiring department manager</t>
  </si>
  <si>
    <t>Hiring department team</t>
  </si>
  <si>
    <t>Internal candidates</t>
  </si>
  <si>
    <t>Trainer</t>
  </si>
  <si>
    <t>Calculated based on the hours entered above, along with the numbers of resumes received and candidates interviewed</t>
  </si>
  <si>
    <t>Ramp-up costs</t>
  </si>
  <si>
    <t>Total training &amp; ramp-up cost:</t>
  </si>
  <si>
    <t>The Bureau of Labor Statistics cites this as a typical conservative percent for the rate of benefits to total compensation.</t>
  </si>
  <si>
    <t>This sheet contains the base numbers used in calculating amounts on the other worksheets</t>
  </si>
  <si>
    <t>The calculation assumes the customer lifetime is 50% complete, so 50% of this number will be used. Adjust the Lifetime Value number accordingly if the percentage is different.</t>
  </si>
  <si>
    <t>Estimated: one hour per candidate per hiring department team member. Adjust if necessary.</t>
  </si>
  <si>
    <t>Estimated: half an hour per candidate per hiring department team member, including the hiring manager.  Adjust if necessary.</t>
  </si>
  <si>
    <t>For the hiring manager only; estimated: half an hour per candidate.  Adjust if necessary.</t>
  </si>
  <si>
    <t>Calculated based on how many of the hiring department team are involved and the number of candidates being interviewed</t>
  </si>
  <si>
    <t>Enter the average current annual compensation for internal candidates being evaluated.</t>
  </si>
  <si>
    <t>To change the benefits calculation, scroll down and update the benefits percentage of total compensation.</t>
  </si>
  <si>
    <t>This sheet calculates the financial impact of the employee's departure</t>
  </si>
  <si>
    <t>This sheet calculates the cost of recruiting and hiring the new employee.</t>
  </si>
  <si>
    <t>This sheet calculates the costs of poor management - failed or delayed projects and employees who leave due to bad management</t>
  </si>
  <si>
    <t>Costs of project failure or delays</t>
  </si>
  <si>
    <t>Estimate the cost for any project failures or delays, including budget overruns.</t>
  </si>
  <si>
    <t xml:space="preserve">Copy this spreadsheet for each employee on the team who quit during the leader's tenure. </t>
  </si>
  <si>
    <t>Fill out the IMPACT, RECRUITING &amp; HIRING, and TRAINING &amp; RAMP-UP pages. Sum their TOTAL COSTS number and enter it here.</t>
  </si>
  <si>
    <t>This sheet calculates the cost of training and ramp-up time for the new employee</t>
  </si>
  <si>
    <t xml:space="preserve">This workbook is © 2019, Grace Judson. Feel free to use it and share it, as long as you provide attribution. For more information, go to https://www.gracejudson.com </t>
  </si>
  <si>
    <t>About Grace Judson</t>
  </si>
  <si>
    <t>Recruiting &amp; hiring'!A1 :: the cost of recruiting and hiring the replacement employee</t>
  </si>
  <si>
    <t>Impact costs'!A1 :: the financial impact of the failed leader's departure</t>
  </si>
  <si>
    <t>Base numbers'!A1 :: contains the numbers used in calculations throughout the workbook</t>
  </si>
  <si>
    <t>Training &amp; ramp-up'!A1 :: the costs of training and the ramp-up time for the new employee</t>
  </si>
  <si>
    <t>Failure costs'!A1 :: the financial impact of the leader's failure on projects and on their team</t>
  </si>
  <si>
    <t>Total costs'!A1 :: sum of the costs from each page. Warning! this will surprise you!</t>
  </si>
  <si>
    <t>Replacement at 20%</t>
  </si>
  <si>
    <t>This workbook is © 2019, Grace Judson. 
Use it freely within your organization.
If you have colleagues in other companies who would find
it useful, please send them to
https://www.GraceJudson.com/costs-spreadsheet
to download their own copy. Thank you!</t>
  </si>
  <si>
    <t>This workbook is © 2019, Grace Judson. 
Use it freely within your organization.
If you have colleagues in other companies who would find it useful, please send them to
https://www.GraceJudson.com/costs-spreadsheet
to download their own copy. Thank you!</t>
  </si>
  <si>
    <t>YouTube channel: https://www.youtube.com/GraceJudson</t>
  </si>
  <si>
    <t xml:space="preserve">LinkedIn: https://www.linkedin.com/in/GraceJudson </t>
  </si>
  <si>
    <t>Facebook: https://www.facebook.com/GraceJudsonEmpoweredLeadership</t>
  </si>
  <si>
    <t>Percentage of lost time (see instructions)</t>
  </si>
  <si>
    <t>This is the base hourly rate times the duration of the vacancy times the percentage.</t>
  </si>
  <si>
    <t xml:space="preserve">100% if the vacant position isn't being backfilled; 50% if the vacant position is partially filled by another employee. Cannot be 0 because the backfilling employee cannot do two jobs at once. </t>
  </si>
  <si>
    <t>We can't double-count training (training both the outgoing and the incoming employees). However, if the employee has been at the company for a year or less, we can count 50% as "sunk costs."</t>
  </si>
  <si>
    <t>Calculated at 15% of annual salary * number of years of service. This is conservative, especially if the individual has been with the company for a long time, or is especially senior.</t>
  </si>
  <si>
    <t>Enter data only in "lifetime value" OR "cost to retain." If both are entered, your "total cost to retain" will be incorrect.</t>
  </si>
  <si>
    <t>Explore the spreadsheet by clicking through the pages. Each page has instructions for use.</t>
  </si>
  <si>
    <r>
      <rPr>
        <b/>
        <sz val="11"/>
        <color theme="1"/>
        <rFont val="Times New Roman"/>
        <family val="1"/>
      </rPr>
      <t>So, why should you pay any attention to me and what I say?</t>
    </r>
    <r>
      <rPr>
        <sz val="11"/>
        <color theme="1"/>
        <rFont val="Times New Roman"/>
        <family val="1"/>
      </rPr>
      <t xml:space="preserve">
I could give you the usual sort of backstory about how I spent twentysomething years in corporate America, sixteen of them in leadership, witnessing and experiencing so much painful dysfunction, especially around change initiatives. And how that made me want, very deeply, to do what I could to make things better by helping companies get better at overcoming the inevitable resistance to change so they could actually make the improvements they want to make!
All true. But, well, yawn.
Because there are a gazillion change consultants and trainers out there who say pretty much exactly the same thing. Not very inspiring, eh?
</t>
    </r>
    <r>
      <rPr>
        <b/>
        <sz val="11"/>
        <color theme="1"/>
        <rFont val="Times New Roman"/>
        <family val="1"/>
      </rPr>
      <t xml:space="preserve">Here’s what’s different about me.
</t>
    </r>
    <r>
      <rPr>
        <sz val="11"/>
        <color theme="1"/>
        <rFont val="Times New Roman"/>
        <family val="1"/>
      </rPr>
      <t>I see patterns. I think in systems and process. And I understand people.
These are terrific skills for facilitating change leadership in organizations.
But they’re not exactly common – or normal.</t>
    </r>
  </si>
  <si>
    <r>
      <rPr>
        <b/>
        <sz val="11"/>
        <color theme="1"/>
        <rFont val="Times New Roman"/>
        <family val="1"/>
      </rPr>
      <t>For a long time, I thought everyone could do this.</t>
    </r>
    <r>
      <rPr>
        <sz val="11"/>
        <color theme="1"/>
        <rFont val="Times New Roman"/>
        <family val="1"/>
      </rPr>
      <t xml:space="preserve">
But then I realized that being able to see patterns, think in systems, and simultaneously understand the big picture and the details involved, as well as understanding the people and their motivations and anxieties around change – no, it’s not normal. Or common.
</t>
    </r>
    <r>
      <rPr>
        <b/>
        <sz val="11"/>
        <color theme="1"/>
        <rFont val="Times New Roman"/>
        <family val="1"/>
      </rPr>
      <t>I'm not your "normal" change leadership expert.</t>
    </r>
    <r>
      <rPr>
        <sz val="11"/>
        <color theme="1"/>
        <rFont val="Times New Roman"/>
        <family val="1"/>
      </rPr>
      <t xml:space="preserve">
I work with midsized companies who might believe they don't have the time or other resources to get help implementing essential change – and I show them how it can be done in ways that fit their culture and their needs, and develops change leaders within the organization for future change initiatives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</si>
</sst>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 #,##0_);_(* \(#,##0\);_(* &quot;-&quot;??_);_(@_)"/>
    <numFmt numFmtId="166" formatCode="0.0%"/>
    <numFmt numFmtId="167" formatCode="0.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sz val="11"/>
      <color theme="1"/>
      <name val="Times New Roman"/>
      <family val="1"/>
    </font>
    <font>
      <b/>
      <sz val="16"/>
      <color theme="1"/>
      <name val="Times New Roman"/>
      <family val="1"/>
    </font>
    <font>
      <u/>
      <sz val="11"/>
      <color theme="10"/>
      <name val="Calibri"/>
      <family val="2"/>
      <scheme val="minor"/>
    </font>
    <font>
      <u/>
      <sz val="11"/>
      <color theme="10"/>
      <name val="Times New Roman"/>
      <family val="1"/>
    </font>
    <font>
      <b/>
      <sz val="11"/>
      <color theme="1"/>
      <name val="Times New Roman"/>
      <family val="1"/>
    </font>
  </fonts>
  <fills count="1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4.9989318521683403E-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cellStyleXfs>
  <cellXfs count="123">
    <xf numFmtId="0" fontId="0" fillId="0" borderId="0" xfId="0"/>
    <xf numFmtId="44" fontId="0" fillId="0" borderId="0" xfId="1" applyFont="1"/>
    <xf numFmtId="43" fontId="0" fillId="0" borderId="0" xfId="3" applyFont="1"/>
    <xf numFmtId="165" fontId="0" fillId="0" borderId="0" xfId="3" applyNumberFormat="1" applyFont="1"/>
    <xf numFmtId="0" fontId="3" fillId="0" borderId="0" xfId="0" applyFont="1"/>
    <xf numFmtId="44" fontId="0" fillId="0" borderId="0" xfId="0" applyNumberFormat="1"/>
    <xf numFmtId="164" fontId="0" fillId="0" borderId="0" xfId="0" applyNumberFormat="1"/>
    <xf numFmtId="166" fontId="0" fillId="0" borderId="0" xfId="2" applyNumberFormat="1" applyFont="1"/>
    <xf numFmtId="1" fontId="0" fillId="0" borderId="0" xfId="3" applyNumberFormat="1" applyFont="1"/>
    <xf numFmtId="2" fontId="0" fillId="0" borderId="0" xfId="1" applyNumberFormat="1" applyFont="1"/>
    <xf numFmtId="0" fontId="2" fillId="0" borderId="0" xfId="0" applyFont="1"/>
    <xf numFmtId="1" fontId="0" fillId="0" borderId="0" xfId="1" applyNumberFormat="1" applyFont="1"/>
    <xf numFmtId="0" fontId="4" fillId="0" borderId="0" xfId="0" applyFont="1"/>
    <xf numFmtId="0" fontId="5" fillId="0" borderId="0" xfId="0" applyFont="1"/>
    <xf numFmtId="44" fontId="3" fillId="0" borderId="0" xfId="1" applyFont="1"/>
    <xf numFmtId="2" fontId="3" fillId="0" borderId="0" xfId="1" applyNumberFormat="1" applyFont="1"/>
    <xf numFmtId="44" fontId="3" fillId="0" borderId="0" xfId="3" applyNumberFormat="1" applyFont="1"/>
    <xf numFmtId="0" fontId="7" fillId="0" borderId="0" xfId="0" applyFont="1"/>
    <xf numFmtId="44" fontId="7" fillId="0" borderId="0" xfId="1" applyFont="1"/>
    <xf numFmtId="0" fontId="8" fillId="0" borderId="0" xfId="0" applyFont="1"/>
    <xf numFmtId="2" fontId="0" fillId="0" borderId="0" xfId="0" applyNumberFormat="1"/>
    <xf numFmtId="1" fontId="0" fillId="0" borderId="0" xfId="0" applyNumberFormat="1"/>
    <xf numFmtId="0" fontId="7" fillId="2" borderId="0" xfId="0" applyFont="1" applyFill="1"/>
    <xf numFmtId="44" fontId="0" fillId="2" borderId="0" xfId="1" applyFont="1" applyFill="1"/>
    <xf numFmtId="0" fontId="0" fillId="2" borderId="0" xfId="0" applyFill="1"/>
    <xf numFmtId="0" fontId="3" fillId="2" borderId="0" xfId="0" applyFont="1" applyFill="1"/>
    <xf numFmtId="44" fontId="3" fillId="2" borderId="0" xfId="1" applyFont="1" applyFill="1"/>
    <xf numFmtId="9" fontId="0" fillId="2" borderId="0" xfId="2" applyFont="1" applyFill="1"/>
    <xf numFmtId="0" fontId="0" fillId="2" borderId="0" xfId="1" applyNumberFormat="1" applyFont="1" applyFill="1" applyAlignment="1">
      <alignment horizontal="left"/>
    </xf>
    <xf numFmtId="44" fontId="3" fillId="2" borderId="0" xfId="3" applyNumberFormat="1" applyFont="1" applyFill="1"/>
    <xf numFmtId="0" fontId="7" fillId="3" borderId="0" xfId="0" applyFont="1" applyFill="1"/>
    <xf numFmtId="44" fontId="0" fillId="3" borderId="0" xfId="1" applyFont="1" applyFill="1"/>
    <xf numFmtId="0" fontId="0" fillId="3" borderId="0" xfId="0" applyFill="1"/>
    <xf numFmtId="0" fontId="3" fillId="3" borderId="0" xfId="0" applyFont="1" applyFill="1"/>
    <xf numFmtId="44" fontId="3" fillId="3" borderId="0" xfId="1" applyFont="1" applyFill="1"/>
    <xf numFmtId="0" fontId="7" fillId="4" borderId="0" xfId="0" applyFont="1" applyFill="1"/>
    <xf numFmtId="44" fontId="0" fillId="4" borderId="0" xfId="1" applyFont="1" applyFill="1"/>
    <xf numFmtId="0" fontId="0" fillId="4" borderId="0" xfId="0" applyFill="1"/>
    <xf numFmtId="0" fontId="3" fillId="4" borderId="0" xfId="0" applyFont="1" applyFill="1"/>
    <xf numFmtId="44" fontId="3" fillId="4" borderId="0" xfId="1" applyFont="1" applyFill="1"/>
    <xf numFmtId="44" fontId="0" fillId="2" borderId="0" xfId="1" applyFont="1" applyFill="1" applyProtection="1">
      <protection locked="0"/>
    </xf>
    <xf numFmtId="44" fontId="0" fillId="4" borderId="0" xfId="1" applyFont="1" applyFill="1" applyProtection="1">
      <protection locked="0"/>
    </xf>
    <xf numFmtId="44" fontId="0" fillId="3" borderId="0" xfId="1" applyFont="1" applyFill="1" applyProtection="1">
      <protection locked="0"/>
    </xf>
    <xf numFmtId="44" fontId="1" fillId="3" borderId="0" xfId="1" applyFont="1" applyFill="1" applyProtection="1">
      <protection locked="0"/>
    </xf>
    <xf numFmtId="44" fontId="1" fillId="2" borderId="0" xfId="1" applyFont="1" applyFill="1" applyProtection="1">
      <protection locked="0"/>
    </xf>
    <xf numFmtId="165" fontId="0" fillId="0" borderId="0" xfId="3" applyNumberFormat="1" applyFont="1" applyProtection="1">
      <protection locked="0"/>
    </xf>
    <xf numFmtId="166" fontId="0" fillId="0" borderId="0" xfId="2" applyNumberFormat="1" applyFont="1" applyProtection="1">
      <protection locked="0"/>
    </xf>
    <xf numFmtId="0" fontId="7" fillId="5" borderId="0" xfId="0" applyFont="1" applyFill="1"/>
    <xf numFmtId="165" fontId="0" fillId="5" borderId="0" xfId="3" applyNumberFormat="1" applyFont="1" applyFill="1"/>
    <xf numFmtId="0" fontId="0" fillId="5" borderId="0" xfId="0" applyFill="1"/>
    <xf numFmtId="44" fontId="0" fillId="5" borderId="0" xfId="1" applyFont="1" applyFill="1"/>
    <xf numFmtId="44" fontId="0" fillId="5" borderId="0" xfId="3" applyNumberFormat="1" applyFont="1" applyFill="1"/>
    <xf numFmtId="0" fontId="3" fillId="5" borderId="0" xfId="0" applyFont="1" applyFill="1"/>
    <xf numFmtId="44" fontId="3" fillId="5" borderId="0" xfId="1" applyFont="1" applyFill="1"/>
    <xf numFmtId="43" fontId="0" fillId="5" borderId="0" xfId="3" applyFont="1" applyFill="1"/>
    <xf numFmtId="44" fontId="0" fillId="5" borderId="0" xfId="1" applyFont="1" applyFill="1" applyProtection="1">
      <protection locked="0"/>
    </xf>
    <xf numFmtId="1" fontId="0" fillId="5" borderId="0" xfId="2" applyNumberFormat="1" applyFont="1" applyFill="1" applyProtection="1">
      <protection locked="0"/>
    </xf>
    <xf numFmtId="9" fontId="0" fillId="5" borderId="0" xfId="2" applyFont="1" applyFill="1" applyProtection="1">
      <protection locked="0"/>
    </xf>
    <xf numFmtId="166" fontId="0" fillId="5" borderId="0" xfId="2" applyNumberFormat="1" applyFont="1" applyFill="1" applyProtection="1">
      <protection locked="0"/>
    </xf>
    <xf numFmtId="1" fontId="0" fillId="5" borderId="0" xfId="3" applyNumberFormat="1" applyFont="1" applyFill="1" applyProtection="1">
      <protection locked="0"/>
    </xf>
    <xf numFmtId="2" fontId="0" fillId="5" borderId="0" xfId="1" applyNumberFormat="1" applyFont="1" applyFill="1" applyProtection="1">
      <protection locked="0"/>
    </xf>
    <xf numFmtId="1" fontId="0" fillId="5" borderId="0" xfId="1" applyNumberFormat="1" applyFont="1" applyFill="1" applyProtection="1">
      <protection locked="0"/>
    </xf>
    <xf numFmtId="0" fontId="0" fillId="0" borderId="0" xfId="0" applyProtection="1">
      <protection locked="0"/>
    </xf>
    <xf numFmtId="0" fontId="4" fillId="0" borderId="0" xfId="0" applyFont="1" applyProtection="1">
      <protection locked="0"/>
    </xf>
    <xf numFmtId="2" fontId="3" fillId="4" borderId="0" xfId="1" applyNumberFormat="1" applyFont="1" applyFill="1"/>
    <xf numFmtId="2" fontId="3" fillId="3" borderId="0" xfId="1" applyNumberFormat="1" applyFont="1" applyFill="1"/>
    <xf numFmtId="44" fontId="7" fillId="4" borderId="0" xfId="1" applyFont="1" applyFill="1" applyAlignment="1">
      <alignment horizontal="center"/>
    </xf>
    <xf numFmtId="2" fontId="0" fillId="4" borderId="0" xfId="1" applyNumberFormat="1" applyFont="1" applyFill="1" applyProtection="1">
      <protection locked="0"/>
    </xf>
    <xf numFmtId="1" fontId="3" fillId="2" borderId="0" xfId="1" applyNumberFormat="1" applyFont="1" applyFill="1" applyProtection="1">
      <protection locked="0"/>
    </xf>
    <xf numFmtId="1" fontId="0" fillId="3" borderId="0" xfId="1" applyNumberFormat="1" applyFont="1" applyFill="1" applyProtection="1">
      <protection locked="0"/>
    </xf>
    <xf numFmtId="2" fontId="0" fillId="3" borderId="0" xfId="1" applyNumberFormat="1" applyFont="1" applyFill="1" applyProtection="1">
      <protection locked="0"/>
    </xf>
    <xf numFmtId="0" fontId="0" fillId="4" borderId="0" xfId="0" applyFill="1" applyProtection="1">
      <protection locked="0"/>
    </xf>
    <xf numFmtId="1" fontId="1" fillId="2" borderId="0" xfId="1" applyNumberFormat="1" applyFont="1" applyFill="1" applyProtection="1">
      <protection locked="0"/>
    </xf>
    <xf numFmtId="44" fontId="3" fillId="5" borderId="0" xfId="1" applyFont="1" applyFill="1" applyProtection="1">
      <protection locked="0"/>
    </xf>
    <xf numFmtId="44" fontId="6" fillId="2" borderId="0" xfId="1" applyFont="1" applyFill="1"/>
    <xf numFmtId="2" fontId="0" fillId="2" borderId="0" xfId="1" applyNumberFormat="1" applyFont="1" applyFill="1" applyProtection="1">
      <protection locked="0"/>
    </xf>
    <xf numFmtId="0" fontId="4" fillId="6" borderId="0" xfId="0" applyFont="1" applyFill="1"/>
    <xf numFmtId="44" fontId="4" fillId="6" borderId="0" xfId="1" applyFont="1" applyFill="1"/>
    <xf numFmtId="0" fontId="4" fillId="7" borderId="0" xfId="0" applyFont="1" applyFill="1"/>
    <xf numFmtId="44" fontId="4" fillId="7" borderId="0" xfId="1" applyFont="1" applyFill="1"/>
    <xf numFmtId="0" fontId="4" fillId="8" borderId="0" xfId="0" applyFont="1" applyFill="1"/>
    <xf numFmtId="44" fontId="4" fillId="8" borderId="0" xfId="1" applyFont="1" applyFill="1"/>
    <xf numFmtId="0" fontId="4" fillId="9" borderId="0" xfId="0" applyFont="1" applyFill="1"/>
    <xf numFmtId="44" fontId="4" fillId="9" borderId="0" xfId="1" applyFont="1" applyFill="1"/>
    <xf numFmtId="0" fontId="7" fillId="6" borderId="0" xfId="0" applyFont="1" applyFill="1"/>
    <xf numFmtId="44" fontId="7" fillId="6" borderId="0" xfId="0" applyNumberFormat="1" applyFont="1" applyFill="1"/>
    <xf numFmtId="0" fontId="7" fillId="7" borderId="0" xfId="0" applyFont="1" applyFill="1"/>
    <xf numFmtId="44" fontId="7" fillId="7" borderId="0" xfId="0" applyNumberFormat="1" applyFont="1" applyFill="1"/>
    <xf numFmtId="0" fontId="7" fillId="8" borderId="0" xfId="0" applyFont="1" applyFill="1"/>
    <xf numFmtId="44" fontId="7" fillId="8" borderId="0" xfId="0" applyNumberFormat="1" applyFont="1" applyFill="1"/>
    <xf numFmtId="0" fontId="7" fillId="9" borderId="0" xfId="0" applyFont="1" applyFill="1"/>
    <xf numFmtId="44" fontId="7" fillId="9" borderId="0" xfId="0" applyNumberFormat="1" applyFont="1" applyFill="1"/>
    <xf numFmtId="0" fontId="4" fillId="10" borderId="0" xfId="0" applyFont="1" applyFill="1"/>
    <xf numFmtId="44" fontId="4" fillId="10" borderId="0" xfId="0" applyNumberFormat="1" applyFont="1" applyFill="1"/>
    <xf numFmtId="44" fontId="0" fillId="5" borderId="0" xfId="1" applyFont="1" applyFill="1" applyProtection="1"/>
    <xf numFmtId="44" fontId="0" fillId="2" borderId="0" xfId="1" applyFont="1" applyFill="1" applyProtection="1"/>
    <xf numFmtId="44" fontId="0" fillId="4" borderId="0" xfId="1" applyFont="1" applyFill="1" applyProtection="1"/>
    <xf numFmtId="44" fontId="0" fillId="3" borderId="0" xfId="1" applyFont="1" applyFill="1" applyProtection="1"/>
    <xf numFmtId="44" fontId="1" fillId="3" borderId="0" xfId="1" applyFont="1" applyFill="1" applyProtection="1"/>
    <xf numFmtId="44" fontId="1" fillId="2" borderId="0" xfId="1" applyFont="1" applyFill="1" applyProtection="1"/>
    <xf numFmtId="44" fontId="3" fillId="0" borderId="0" xfId="1" applyFont="1" applyFill="1" applyProtection="1"/>
    <xf numFmtId="0" fontId="5" fillId="0" borderId="0" xfId="0" applyFont="1" applyProtection="1">
      <protection locked="0"/>
    </xf>
    <xf numFmtId="0" fontId="9" fillId="0" borderId="0" xfId="0" applyFont="1"/>
    <xf numFmtId="0" fontId="0" fillId="0" borderId="0" xfId="0" applyAlignment="1">
      <alignment vertical="top"/>
    </xf>
    <xf numFmtId="0" fontId="9" fillId="0" borderId="0" xfId="0" applyFont="1" applyAlignment="1">
      <alignment vertical="top" wrapText="1"/>
    </xf>
    <xf numFmtId="0" fontId="12" fillId="0" borderId="0" xfId="4" quotePrefix="1" applyFont="1"/>
    <xf numFmtId="0" fontId="11" fillId="0" borderId="0" xfId="4" applyProtection="1"/>
    <xf numFmtId="0" fontId="3" fillId="5" borderId="0" xfId="0" applyFont="1" applyFill="1" applyAlignment="1">
      <alignment horizontal="center"/>
    </xf>
    <xf numFmtId="0" fontId="10" fillId="0" borderId="0" xfId="0" applyFont="1" applyAlignment="1">
      <alignment horizontal="center"/>
    </xf>
    <xf numFmtId="0" fontId="0" fillId="0" borderId="0" xfId="0" applyAlignment="1">
      <alignment wrapText="1"/>
    </xf>
    <xf numFmtId="0" fontId="0" fillId="0" borderId="0" xfId="0"/>
    <xf numFmtId="167" fontId="0" fillId="0" borderId="0" xfId="0" applyNumberFormat="1"/>
    <xf numFmtId="164" fontId="0" fillId="0" borderId="0" xfId="0" applyNumberFormat="1"/>
    <xf numFmtId="44" fontId="0" fillId="0" borderId="0" xfId="0" applyNumberFormat="1"/>
    <xf numFmtId="10" fontId="0" fillId="0" borderId="0" xfId="0" applyNumberFormat="1"/>
    <xf numFmtId="0" fontId="0" fillId="0" borderId="0" xfId="0" applyAlignment="1">
      <alignment horizontal="left"/>
    </xf>
    <xf numFmtId="0" fontId="6" fillId="0" borderId="0" xfId="0" applyFont="1"/>
    <xf numFmtId="2" fontId="0" fillId="0" borderId="0" xfId="0" applyNumberFormat="1"/>
    <xf numFmtId="0" fontId="9" fillId="0" borderId="1" xfId="0" applyFont="1" applyBorder="1" applyAlignment="1">
      <alignment vertical="top" wrapText="1"/>
    </xf>
    <xf numFmtId="0" fontId="9" fillId="0" borderId="2"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9" fillId="0" borderId="2" xfId="0" applyFont="1" applyBorder="1" applyAlignment="1">
      <alignment vertical="top" wrapText="1"/>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xdr:colOff>
      <xdr:row>2</xdr:row>
      <xdr:rowOff>0</xdr:rowOff>
    </xdr:from>
    <xdr:to>
      <xdr:col>3</xdr:col>
      <xdr:colOff>121717</xdr:colOff>
      <xdr:row>2</xdr:row>
      <xdr:rowOff>2286000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 y="0"/>
          <a:ext cx="1950513" cy="228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workbookViewId="0">
      <selection sqref="A1:D1"/>
    </sheetView>
  </sheetViews>
  <sheetFormatPr defaultRowHeight="15" x14ac:dyDescent="0.25"/>
  <cols>
    <col min="4" max="4" width="4.5703125" customWidth="1"/>
    <col min="5" max="5" width="85.28515625" customWidth="1"/>
    <col min="6" max="6" width="2.85546875" customWidth="1"/>
    <col min="7" max="7" width="10.140625" customWidth="1"/>
  </cols>
  <sheetData>
    <row r="1" spans="1:14" ht="20.25" x14ac:dyDescent="0.3">
      <c r="A1" s="108" t="s">
        <v>213</v>
      </c>
      <c r="B1" s="108"/>
      <c r="C1" s="108"/>
      <c r="D1" s="108"/>
    </row>
    <row r="2" spans="1:14" ht="15.75" thickBot="1" x14ac:dyDescent="0.3">
      <c r="A2" s="62"/>
    </row>
    <row r="3" spans="1:14" ht="225" thickBot="1" x14ac:dyDescent="0.3">
      <c r="E3" s="118" t="s">
        <v>233</v>
      </c>
      <c r="F3" s="122"/>
      <c r="G3" s="119" t="s">
        <v>234</v>
      </c>
      <c r="H3" s="120"/>
      <c r="I3" s="120"/>
      <c r="J3" s="120"/>
      <c r="K3" s="120"/>
      <c r="L3" s="120"/>
      <c r="M3" s="120"/>
      <c r="N3" s="121"/>
    </row>
    <row r="4" spans="1:14" x14ac:dyDescent="0.25">
      <c r="E4" s="104"/>
    </row>
    <row r="5" spans="1:14" x14ac:dyDescent="0.25">
      <c r="E5" s="104" t="s">
        <v>224</v>
      </c>
    </row>
    <row r="6" spans="1:14" x14ac:dyDescent="0.25">
      <c r="E6" s="104" t="s">
        <v>223</v>
      </c>
    </row>
    <row r="7" spans="1:14" x14ac:dyDescent="0.25">
      <c r="E7" s="104" t="s">
        <v>225</v>
      </c>
    </row>
    <row r="8" spans="1:14" s="103" customFormat="1" ht="18" customHeight="1" x14ac:dyDescent="0.25">
      <c r="E8"/>
      <c r="G8" s="109" t="s">
        <v>222</v>
      </c>
      <c r="H8" s="109"/>
      <c r="I8" s="109"/>
      <c r="J8" s="109"/>
      <c r="K8" s="109"/>
    </row>
    <row r="9" spans="1:14" x14ac:dyDescent="0.25">
      <c r="E9" s="102" t="s">
        <v>232</v>
      </c>
      <c r="G9" s="109"/>
      <c r="H9" s="109"/>
      <c r="I9" s="109"/>
      <c r="J9" s="109"/>
      <c r="K9" s="109"/>
    </row>
    <row r="10" spans="1:14" x14ac:dyDescent="0.25">
      <c r="E10" s="105" t="s">
        <v>216</v>
      </c>
      <c r="G10" s="109"/>
      <c r="H10" s="109"/>
      <c r="I10" s="109"/>
      <c r="J10" s="109"/>
      <c r="K10" s="109"/>
    </row>
    <row r="11" spans="1:14" x14ac:dyDescent="0.25">
      <c r="E11" s="105" t="s">
        <v>215</v>
      </c>
      <c r="G11" s="109"/>
      <c r="H11" s="109"/>
      <c r="I11" s="109"/>
      <c r="J11" s="109"/>
      <c r="K11" s="109"/>
    </row>
    <row r="12" spans="1:14" x14ac:dyDescent="0.25">
      <c r="E12" s="105" t="s">
        <v>214</v>
      </c>
      <c r="G12" s="109"/>
      <c r="H12" s="109"/>
      <c r="I12" s="109"/>
      <c r="J12" s="109"/>
      <c r="K12" s="109"/>
    </row>
    <row r="13" spans="1:14" x14ac:dyDescent="0.25">
      <c r="E13" s="105" t="s">
        <v>217</v>
      </c>
      <c r="G13" s="109"/>
      <c r="H13" s="109"/>
      <c r="I13" s="109"/>
      <c r="J13" s="109"/>
      <c r="K13" s="109"/>
    </row>
    <row r="14" spans="1:14" x14ac:dyDescent="0.25">
      <c r="E14" s="105" t="s">
        <v>218</v>
      </c>
      <c r="G14" s="109"/>
      <c r="H14" s="109"/>
      <c r="I14" s="109"/>
      <c r="J14" s="109"/>
      <c r="K14" s="109"/>
    </row>
    <row r="15" spans="1:14" x14ac:dyDescent="0.25">
      <c r="E15" s="105" t="s">
        <v>219</v>
      </c>
    </row>
  </sheetData>
  <sheetProtection algorithmName="SHA-512" hashValue="fZAb9pLjmeSW0WUF9ujR0uP8pmu3a8qLlXgGqjkRGpzb48YZav/VavyPyqvDoO6dgeonY8ZNblNlIHIrQtn/Yw==" saltValue="HCEqV22dGyp0MEO1/S1OpA==" spinCount="100000" sheet="1" objects="1" scenarios="1"/>
  <mergeCells count="3">
    <mergeCell ref="A1:D1"/>
    <mergeCell ref="G8:K14"/>
    <mergeCell ref="G3:N3"/>
  </mergeCells>
  <hyperlinks>
    <hyperlink ref="E10" location="'Base numbers'!A1" display="'Base numbers'!A1" xr:uid="{00000000-0004-0000-0000-000000000000}"/>
    <hyperlink ref="E11" location="'Impact costs'!A1" display="'Impact costs'!A1" xr:uid="{00000000-0004-0000-0000-000001000000}"/>
    <hyperlink ref="E12" location="'Recruiting &amp; hiring'!A1" display="'Recruiting &amp; hiring'!A1" xr:uid="{00000000-0004-0000-0000-000002000000}"/>
    <hyperlink ref="E13" location="'Training &amp; ramp-up'!A1" display="'Training &amp; ramp-up'!A1" xr:uid="{00000000-0004-0000-0000-000003000000}"/>
    <hyperlink ref="E14" location="'Failure costs'!A1" display="'Failure costs'!A1" xr:uid="{00000000-0004-0000-0000-000004000000}"/>
    <hyperlink ref="E15" location="'Total costs'!A1" display="'Total costs'!A1" xr:uid="{00000000-0004-0000-0000-000005000000}"/>
  </hyperlink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5"/>
  <sheetViews>
    <sheetView zoomScaleNormal="100" workbookViewId="0">
      <selection activeCell="B6" sqref="B6"/>
    </sheetView>
  </sheetViews>
  <sheetFormatPr defaultRowHeight="15" x14ac:dyDescent="0.25"/>
  <cols>
    <col min="1" max="1" width="31.140625" customWidth="1"/>
    <col min="2" max="2" width="12.5703125" style="1" bestFit="1" customWidth="1"/>
    <col min="4" max="4" width="11.5703125" bestFit="1" customWidth="1"/>
  </cols>
  <sheetData>
    <row r="1" spans="1:16" x14ac:dyDescent="0.25">
      <c r="A1" t="s">
        <v>212</v>
      </c>
    </row>
    <row r="2" spans="1:16" ht="21" x14ac:dyDescent="0.35">
      <c r="A2" s="13" t="s">
        <v>196</v>
      </c>
    </row>
    <row r="3" spans="1:16" ht="18.75" x14ac:dyDescent="0.3">
      <c r="A3" s="63"/>
    </row>
    <row r="4" spans="1:16" ht="18.75" x14ac:dyDescent="0.3">
      <c r="A4" s="12" t="s">
        <v>181</v>
      </c>
      <c r="D4" s="110" t="s">
        <v>178</v>
      </c>
      <c r="E4" s="110"/>
      <c r="F4" s="110"/>
      <c r="G4" s="110"/>
      <c r="H4" s="110"/>
      <c r="I4" s="110"/>
      <c r="J4" s="110"/>
      <c r="K4" s="110"/>
      <c r="L4" s="110"/>
      <c r="M4" s="110"/>
      <c r="N4" s="110"/>
      <c r="O4" s="110"/>
      <c r="P4" s="110"/>
    </row>
    <row r="5" spans="1:16" ht="15.75" x14ac:dyDescent="0.25">
      <c r="A5" s="47" t="s">
        <v>97</v>
      </c>
      <c r="B5" s="50"/>
      <c r="D5" s="110" t="s">
        <v>203</v>
      </c>
      <c r="E5" s="110"/>
      <c r="F5" s="110"/>
      <c r="G5" s="110"/>
      <c r="H5" s="110"/>
      <c r="I5" s="110"/>
      <c r="J5" s="110"/>
      <c r="K5" s="110"/>
      <c r="L5" s="110"/>
      <c r="M5" s="110"/>
      <c r="N5" s="110"/>
    </row>
    <row r="6" spans="1:16" x14ac:dyDescent="0.25">
      <c r="A6" s="49" t="s">
        <v>99</v>
      </c>
      <c r="B6" s="55">
        <v>42000</v>
      </c>
      <c r="D6" s="110" t="s">
        <v>128</v>
      </c>
      <c r="E6" s="110"/>
      <c r="F6" s="110"/>
      <c r="G6" s="110"/>
      <c r="H6" s="110"/>
      <c r="I6" s="110"/>
      <c r="J6" s="110"/>
      <c r="K6" s="110"/>
      <c r="L6" s="110"/>
      <c r="M6" s="110"/>
      <c r="N6" s="110"/>
    </row>
    <row r="7" spans="1:16" x14ac:dyDescent="0.25">
      <c r="A7" s="49" t="s">
        <v>100</v>
      </c>
      <c r="B7" s="94">
        <f>(B6/(100%-B54))-B6</f>
        <v>18258.249641319941</v>
      </c>
      <c r="D7" s="111" t="s">
        <v>129</v>
      </c>
      <c r="E7" s="111"/>
      <c r="F7" s="111"/>
      <c r="G7" s="111"/>
      <c r="H7" s="111"/>
      <c r="I7" s="111"/>
      <c r="J7" s="111"/>
      <c r="K7" s="111"/>
      <c r="L7" s="111"/>
      <c r="M7" s="111"/>
      <c r="N7" s="111"/>
    </row>
    <row r="8" spans="1:16" x14ac:dyDescent="0.25">
      <c r="A8" s="52" t="s">
        <v>113</v>
      </c>
      <c r="B8" s="53">
        <f>B6+B7</f>
        <v>60258.249641319941</v>
      </c>
      <c r="D8" s="112" t="s">
        <v>130</v>
      </c>
      <c r="E8" s="112"/>
      <c r="F8" s="112"/>
      <c r="G8" s="112"/>
      <c r="H8" s="112"/>
      <c r="I8" s="112"/>
      <c r="J8" s="112"/>
      <c r="K8" s="112"/>
      <c r="L8" s="112"/>
      <c r="M8" s="112"/>
      <c r="N8" s="112"/>
    </row>
    <row r="9" spans="1:16" x14ac:dyDescent="0.25">
      <c r="A9" s="4"/>
      <c r="B9" s="14"/>
      <c r="D9" s="6"/>
    </row>
    <row r="10" spans="1:16" ht="15.75" x14ac:dyDescent="0.25">
      <c r="A10" s="22" t="s">
        <v>98</v>
      </c>
      <c r="B10" s="27"/>
    </row>
    <row r="11" spans="1:16" x14ac:dyDescent="0.25">
      <c r="A11" s="24" t="s">
        <v>99</v>
      </c>
      <c r="B11" s="40">
        <v>40000</v>
      </c>
      <c r="D11" s="110" t="s">
        <v>133</v>
      </c>
      <c r="E11" s="110"/>
      <c r="F11" s="110"/>
      <c r="G11" s="110"/>
      <c r="H11" s="110"/>
      <c r="I11" s="110"/>
      <c r="J11" s="110"/>
      <c r="K11" s="110"/>
      <c r="L11" s="110"/>
      <c r="M11" s="110"/>
    </row>
    <row r="12" spans="1:16" x14ac:dyDescent="0.25">
      <c r="A12" s="28" t="s">
        <v>100</v>
      </c>
      <c r="B12" s="95">
        <f>(B11/(100%-B54))-B11</f>
        <v>17388.809182209465</v>
      </c>
      <c r="D12" s="110" t="s">
        <v>134</v>
      </c>
      <c r="E12" s="110"/>
      <c r="F12" s="110"/>
      <c r="G12" s="110"/>
      <c r="H12" s="110"/>
      <c r="I12" s="110"/>
      <c r="J12" s="110"/>
      <c r="K12" s="110"/>
      <c r="L12" s="110"/>
      <c r="M12" s="110"/>
    </row>
    <row r="13" spans="1:16" x14ac:dyDescent="0.25">
      <c r="A13" s="25" t="s">
        <v>113</v>
      </c>
      <c r="B13" s="29">
        <f>B11+B12</f>
        <v>57388.809182209465</v>
      </c>
      <c r="D13" s="110" t="s">
        <v>135</v>
      </c>
      <c r="E13" s="110"/>
      <c r="F13" s="110"/>
      <c r="G13" s="110"/>
      <c r="H13" s="110"/>
      <c r="I13" s="110"/>
      <c r="J13" s="110"/>
      <c r="K13" s="110"/>
      <c r="L13" s="110"/>
      <c r="M13" s="110"/>
    </row>
    <row r="14" spans="1:16" x14ac:dyDescent="0.25">
      <c r="A14" s="4"/>
      <c r="B14" s="16"/>
    </row>
    <row r="15" spans="1:16" ht="18.75" x14ac:dyDescent="0.3">
      <c r="A15" s="12" t="s">
        <v>182</v>
      </c>
    </row>
    <row r="16" spans="1:16" ht="15.75" x14ac:dyDescent="0.25">
      <c r="A16" s="35" t="s">
        <v>186</v>
      </c>
      <c r="B16" s="36"/>
    </row>
    <row r="17" spans="1:10" x14ac:dyDescent="0.25">
      <c r="A17" s="37" t="s">
        <v>136</v>
      </c>
      <c r="B17" s="41">
        <v>80000</v>
      </c>
      <c r="D17" s="110" t="s">
        <v>180</v>
      </c>
      <c r="E17" s="110"/>
      <c r="F17" s="110"/>
      <c r="G17" s="110"/>
      <c r="H17" s="110"/>
      <c r="I17" s="110"/>
      <c r="J17" s="110"/>
    </row>
    <row r="18" spans="1:10" x14ac:dyDescent="0.25">
      <c r="A18" s="37" t="s">
        <v>137</v>
      </c>
      <c r="B18" s="96">
        <f>(B17/(100%-B54))-B17</f>
        <v>34777.61836441893</v>
      </c>
      <c r="D18" s="110" t="s">
        <v>138</v>
      </c>
      <c r="E18" s="110"/>
      <c r="F18" s="110"/>
      <c r="G18" s="110"/>
      <c r="H18" s="110"/>
      <c r="I18" s="110"/>
      <c r="J18" s="110"/>
    </row>
    <row r="19" spans="1:10" x14ac:dyDescent="0.25">
      <c r="A19" s="38" t="s">
        <v>116</v>
      </c>
      <c r="B19" s="39">
        <f>B17+B18</f>
        <v>114777.61836441893</v>
      </c>
    </row>
    <row r="20" spans="1:10" x14ac:dyDescent="0.25">
      <c r="A20" s="4"/>
      <c r="B20" s="14"/>
    </row>
    <row r="21" spans="1:10" ht="15.75" x14ac:dyDescent="0.25">
      <c r="A21" s="35" t="s">
        <v>187</v>
      </c>
      <c r="B21" s="36"/>
    </row>
    <row r="22" spans="1:10" x14ac:dyDescent="0.25">
      <c r="A22" s="37" t="s">
        <v>139</v>
      </c>
      <c r="B22" s="41">
        <v>45000</v>
      </c>
      <c r="D22" s="110" t="s">
        <v>179</v>
      </c>
      <c r="E22" s="110"/>
      <c r="F22" s="110"/>
      <c r="G22" s="110"/>
      <c r="H22" s="110"/>
      <c r="I22" s="110"/>
      <c r="J22" s="110"/>
    </row>
    <row r="23" spans="1:10" x14ac:dyDescent="0.25">
      <c r="A23" s="37" t="s">
        <v>140</v>
      </c>
      <c r="B23" s="96">
        <f>(B22/(100%-B54))-B22</f>
        <v>19562.410329985643</v>
      </c>
      <c r="D23" s="110" t="s">
        <v>138</v>
      </c>
      <c r="E23" s="110"/>
      <c r="F23" s="110"/>
      <c r="G23" s="110"/>
      <c r="H23" s="110"/>
      <c r="I23" s="110"/>
      <c r="J23" s="110"/>
    </row>
    <row r="24" spans="1:10" x14ac:dyDescent="0.25">
      <c r="A24" s="38" t="s">
        <v>101</v>
      </c>
      <c r="B24" s="39">
        <f>SUM(B22+B23)</f>
        <v>64562.410329985643</v>
      </c>
    </row>
    <row r="25" spans="1:10" x14ac:dyDescent="0.25">
      <c r="A25" s="4"/>
      <c r="B25" s="14"/>
    </row>
    <row r="26" spans="1:10" ht="18.75" x14ac:dyDescent="0.3">
      <c r="A26" s="12" t="s">
        <v>183</v>
      </c>
    </row>
    <row r="27" spans="1:10" ht="15.75" x14ac:dyDescent="0.25">
      <c r="A27" s="30" t="s">
        <v>188</v>
      </c>
      <c r="B27" s="31"/>
    </row>
    <row r="28" spans="1:10" x14ac:dyDescent="0.25">
      <c r="A28" s="32" t="s">
        <v>141</v>
      </c>
      <c r="B28" s="42">
        <v>55000</v>
      </c>
      <c r="D28" s="110" t="s">
        <v>143</v>
      </c>
      <c r="E28" s="110"/>
      <c r="F28" s="110"/>
      <c r="G28" s="110"/>
      <c r="H28" s="110"/>
      <c r="I28" s="110"/>
      <c r="J28" s="110"/>
    </row>
    <row r="29" spans="1:10" x14ac:dyDescent="0.25">
      <c r="A29" s="32" t="s">
        <v>142</v>
      </c>
      <c r="B29" s="97">
        <f>(B28/(100%-B54))-B28</f>
        <v>23909.612625538008</v>
      </c>
      <c r="D29" s="110" t="s">
        <v>138</v>
      </c>
      <c r="E29" s="110"/>
      <c r="F29" s="110"/>
      <c r="G29" s="110"/>
      <c r="H29" s="110"/>
      <c r="I29" s="110"/>
      <c r="J29" s="110"/>
    </row>
    <row r="30" spans="1:10" x14ac:dyDescent="0.25">
      <c r="A30" s="33" t="s">
        <v>114</v>
      </c>
      <c r="B30" s="34">
        <f>SUM(B28+B29)</f>
        <v>78909.612625538008</v>
      </c>
    </row>
    <row r="31" spans="1:10" x14ac:dyDescent="0.25">
      <c r="A31" s="4"/>
      <c r="B31" s="14"/>
    </row>
    <row r="32" spans="1:10" ht="15.75" x14ac:dyDescent="0.25">
      <c r="A32" s="30" t="s">
        <v>189</v>
      </c>
      <c r="B32" s="34"/>
    </row>
    <row r="33" spans="1:16" x14ac:dyDescent="0.25">
      <c r="A33" s="32" t="s">
        <v>144</v>
      </c>
      <c r="B33" s="43">
        <v>35000</v>
      </c>
      <c r="D33" s="110" t="s">
        <v>145</v>
      </c>
      <c r="E33" s="110"/>
      <c r="F33" s="110"/>
      <c r="G33" s="110"/>
      <c r="H33" s="110"/>
      <c r="I33" s="110"/>
      <c r="J33" s="110"/>
      <c r="K33" s="110"/>
      <c r="L33" s="110"/>
      <c r="M33" s="110"/>
      <c r="N33" s="110"/>
      <c r="O33" s="110"/>
      <c r="P33" s="110"/>
    </row>
    <row r="34" spans="1:16" x14ac:dyDescent="0.25">
      <c r="A34" s="32" t="s">
        <v>146</v>
      </c>
      <c r="B34" s="98">
        <f>(B33/(100%-B54))-B33</f>
        <v>15215.208034433279</v>
      </c>
      <c r="D34" s="110" t="s">
        <v>138</v>
      </c>
      <c r="E34" s="110"/>
      <c r="F34" s="110"/>
      <c r="G34" s="110"/>
      <c r="H34" s="110"/>
      <c r="I34" s="110"/>
      <c r="J34" s="110"/>
      <c r="K34" s="110"/>
      <c r="L34" s="110"/>
      <c r="M34" s="110"/>
      <c r="N34" s="110"/>
      <c r="O34" s="110"/>
      <c r="P34" s="110"/>
    </row>
    <row r="35" spans="1:16" x14ac:dyDescent="0.25">
      <c r="A35" s="33" t="s">
        <v>102</v>
      </c>
      <c r="B35" s="34">
        <f>B33+B34</f>
        <v>50215.208034433279</v>
      </c>
    </row>
    <row r="36" spans="1:16" x14ac:dyDescent="0.25">
      <c r="A36" s="4"/>
      <c r="B36" s="14"/>
    </row>
    <row r="37" spans="1:16" x14ac:dyDescent="0.25">
      <c r="A37" s="25" t="s">
        <v>190</v>
      </c>
      <c r="B37" s="26"/>
    </row>
    <row r="38" spans="1:16" x14ac:dyDescent="0.25">
      <c r="A38" s="24" t="s">
        <v>163</v>
      </c>
      <c r="B38" s="44">
        <v>35000</v>
      </c>
      <c r="D38" s="110" t="s">
        <v>164</v>
      </c>
      <c r="E38" s="110"/>
      <c r="F38" s="110"/>
      <c r="G38" s="110"/>
      <c r="H38" s="110"/>
      <c r="I38" s="110"/>
      <c r="J38" s="110"/>
      <c r="K38" s="110"/>
    </row>
    <row r="39" spans="1:16" x14ac:dyDescent="0.25">
      <c r="A39" s="24" t="s">
        <v>166</v>
      </c>
      <c r="B39" s="99">
        <f>(B38/(100%-B54))-B38</f>
        <v>15215.208034433279</v>
      </c>
      <c r="D39" s="110" t="s">
        <v>138</v>
      </c>
      <c r="E39" s="110"/>
      <c r="F39" s="110"/>
      <c r="G39" s="110"/>
      <c r="H39" s="110"/>
      <c r="I39" s="110"/>
      <c r="J39" s="110"/>
      <c r="K39" s="110"/>
    </row>
    <row r="40" spans="1:16" x14ac:dyDescent="0.25">
      <c r="A40" s="25" t="s">
        <v>165</v>
      </c>
      <c r="B40" s="26">
        <f>B38+B39</f>
        <v>50215.208034433279</v>
      </c>
    </row>
    <row r="41" spans="1:16" x14ac:dyDescent="0.25">
      <c r="A41" s="4"/>
      <c r="B41" s="14"/>
    </row>
    <row r="42" spans="1:16" ht="15.75" x14ac:dyDescent="0.25">
      <c r="A42" s="35" t="s">
        <v>191</v>
      </c>
      <c r="B42" s="36"/>
    </row>
    <row r="43" spans="1:16" x14ac:dyDescent="0.25">
      <c r="A43" s="37" t="s">
        <v>147</v>
      </c>
      <c r="B43" s="41">
        <v>45000</v>
      </c>
      <c r="D43" s="110" t="s">
        <v>148</v>
      </c>
      <c r="E43" s="110"/>
      <c r="F43" s="110"/>
      <c r="G43" s="110"/>
      <c r="H43" s="110"/>
      <c r="I43" s="110"/>
      <c r="J43" s="110"/>
      <c r="K43" s="110"/>
    </row>
    <row r="44" spans="1:16" x14ac:dyDescent="0.25">
      <c r="A44" s="37" t="s">
        <v>149</v>
      </c>
      <c r="B44" s="96">
        <f>(B43/(100%-B54))-B43</f>
        <v>19562.410329985643</v>
      </c>
      <c r="D44" s="110" t="s">
        <v>138</v>
      </c>
      <c r="E44" s="110"/>
      <c r="F44" s="110"/>
      <c r="G44" s="110"/>
      <c r="H44" s="110"/>
      <c r="I44" s="110"/>
      <c r="J44" s="110"/>
      <c r="K44" s="110"/>
    </row>
    <row r="45" spans="1:16" x14ac:dyDescent="0.25">
      <c r="A45" s="38" t="s">
        <v>150</v>
      </c>
      <c r="B45" s="39">
        <f>B43+B44</f>
        <v>64562.410329985643</v>
      </c>
    </row>
    <row r="46" spans="1:16" x14ac:dyDescent="0.25">
      <c r="B46" s="7"/>
    </row>
    <row r="47" spans="1:16" ht="18.75" x14ac:dyDescent="0.3">
      <c r="A47" s="12" t="s">
        <v>184</v>
      </c>
      <c r="B47" s="8"/>
    </row>
    <row r="48" spans="1:16" x14ac:dyDescent="0.25">
      <c r="A48" s="4" t="s">
        <v>131</v>
      </c>
    </row>
    <row r="49" spans="1:18" x14ac:dyDescent="0.25">
      <c r="A49" t="s">
        <v>0</v>
      </c>
      <c r="B49" s="1">
        <f>B8*15%</f>
        <v>9038.7374461979907</v>
      </c>
      <c r="D49" s="113" t="s">
        <v>112</v>
      </c>
      <c r="E49" s="113"/>
      <c r="F49" s="113"/>
      <c r="G49" s="113"/>
      <c r="H49" s="113"/>
      <c r="I49" s="113"/>
      <c r="J49" s="113"/>
      <c r="K49" s="113"/>
      <c r="L49" s="113"/>
    </row>
    <row r="50" spans="1:18" x14ac:dyDescent="0.25">
      <c r="A50" t="s">
        <v>220</v>
      </c>
      <c r="B50" s="1">
        <f>B8*20%</f>
        <v>12051.649928263989</v>
      </c>
      <c r="D50" s="5"/>
    </row>
    <row r="51" spans="1:18" x14ac:dyDescent="0.25">
      <c r="A51" t="s">
        <v>1</v>
      </c>
      <c r="B51" s="1">
        <f>B8*33%</f>
        <v>19885.22238163558</v>
      </c>
    </row>
    <row r="53" spans="1:18" x14ac:dyDescent="0.25">
      <c r="A53" s="4" t="s">
        <v>81</v>
      </c>
      <c r="B53" s="45">
        <f>(48*40)</f>
        <v>1920</v>
      </c>
      <c r="D53" s="110" t="s">
        <v>132</v>
      </c>
      <c r="E53" s="110"/>
      <c r="F53" s="110"/>
      <c r="G53" s="110"/>
      <c r="H53" s="110"/>
      <c r="I53" s="110"/>
      <c r="J53" s="110"/>
      <c r="K53" s="110"/>
      <c r="L53" s="110"/>
      <c r="M53" s="110"/>
      <c r="N53" s="110"/>
      <c r="O53" s="110"/>
      <c r="P53" s="110"/>
      <c r="Q53" s="110"/>
      <c r="R53" s="110"/>
    </row>
    <row r="54" spans="1:18" x14ac:dyDescent="0.25">
      <c r="A54" s="4" t="s">
        <v>127</v>
      </c>
      <c r="B54" s="46">
        <v>0.30299999999999999</v>
      </c>
      <c r="D54" s="114" t="s">
        <v>195</v>
      </c>
      <c r="E54" s="114"/>
      <c r="F54" s="114"/>
      <c r="G54" s="114"/>
      <c r="H54" s="114"/>
      <c r="I54" s="114"/>
      <c r="J54" s="114"/>
      <c r="K54" s="114"/>
      <c r="L54" s="114"/>
      <c r="M54" s="114"/>
      <c r="N54" s="114"/>
      <c r="O54" s="114"/>
      <c r="P54" s="114"/>
      <c r="Q54" s="114"/>
      <c r="R54" s="114"/>
    </row>
    <row r="55" spans="1:18" x14ac:dyDescent="0.25">
      <c r="A55" s="4"/>
      <c r="B55" s="3"/>
    </row>
    <row r="57" spans="1:18" x14ac:dyDescent="0.25">
      <c r="A57" s="4"/>
    </row>
    <row r="58" spans="1:18" x14ac:dyDescent="0.25">
      <c r="B58" s="9"/>
    </row>
    <row r="59" spans="1:18" x14ac:dyDescent="0.25">
      <c r="D59" s="10"/>
    </row>
    <row r="61" spans="1:18" x14ac:dyDescent="0.25">
      <c r="A61" s="4"/>
    </row>
    <row r="65" spans="1:4" x14ac:dyDescent="0.25">
      <c r="A65" s="4"/>
    </row>
    <row r="66" spans="1:4" x14ac:dyDescent="0.25">
      <c r="B66" s="11"/>
    </row>
    <row r="71" spans="1:4" ht="21" x14ac:dyDescent="0.35">
      <c r="A71" s="13"/>
      <c r="D71" s="10"/>
    </row>
    <row r="72" spans="1:4" x14ac:dyDescent="0.25">
      <c r="A72" s="4"/>
    </row>
    <row r="76" spans="1:4" x14ac:dyDescent="0.25">
      <c r="A76" s="4"/>
    </row>
    <row r="77" spans="1:4" x14ac:dyDescent="0.25">
      <c r="D77" s="10"/>
    </row>
    <row r="86" spans="1:2" x14ac:dyDescent="0.25">
      <c r="A86" s="4"/>
    </row>
    <row r="87" spans="1:2" x14ac:dyDescent="0.25">
      <c r="B87" s="11"/>
    </row>
    <row r="92" spans="1:2" x14ac:dyDescent="0.25">
      <c r="A92" s="4"/>
    </row>
    <row r="96" spans="1:2" x14ac:dyDescent="0.25">
      <c r="A96" s="4"/>
    </row>
    <row r="100" spans="1:1" x14ac:dyDescent="0.25">
      <c r="A100" s="4"/>
    </row>
    <row r="103" spans="1:1" x14ac:dyDescent="0.25">
      <c r="A103" s="4"/>
    </row>
    <row r="104" spans="1:1" x14ac:dyDescent="0.25">
      <c r="A104" s="4"/>
    </row>
    <row r="109" spans="1:1" x14ac:dyDescent="0.25">
      <c r="A109" s="4"/>
    </row>
    <row r="110" spans="1:1" x14ac:dyDescent="0.25">
      <c r="A110" s="4"/>
    </row>
    <row r="115" spans="1:1" x14ac:dyDescent="0.25">
      <c r="A115" s="4"/>
    </row>
  </sheetData>
  <sheetProtection algorithmName="SHA-512" hashValue="m8C+irhSnsJu+1xkTTSiSiDH6WIX73ihzQ1dh1hLDdE9iSnyxb/Q7eARtdsz5Vp8FrJzQ162HT8O5lvuyMBg5A==" saltValue="4WVEQXp6CqaJbk9li6I3MA==" spinCount="100000" sheet="1" objects="1" scenarios="1" selectLockedCells="1"/>
  <mergeCells count="23">
    <mergeCell ref="D43:K43"/>
    <mergeCell ref="D44:K44"/>
    <mergeCell ref="D49:L49"/>
    <mergeCell ref="D53:R53"/>
    <mergeCell ref="D54:R54"/>
    <mergeCell ref="D39:K39"/>
    <mergeCell ref="D12:M12"/>
    <mergeCell ref="D13:M13"/>
    <mergeCell ref="D17:J17"/>
    <mergeCell ref="D18:J18"/>
    <mergeCell ref="D22:J22"/>
    <mergeCell ref="D23:J23"/>
    <mergeCell ref="D28:J28"/>
    <mergeCell ref="D29:J29"/>
    <mergeCell ref="D33:P33"/>
    <mergeCell ref="D34:P34"/>
    <mergeCell ref="D38:K38"/>
    <mergeCell ref="D11:M11"/>
    <mergeCell ref="D4:P4"/>
    <mergeCell ref="D5:N5"/>
    <mergeCell ref="D6:N6"/>
    <mergeCell ref="D7:N7"/>
    <mergeCell ref="D8:N8"/>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4"/>
  <sheetViews>
    <sheetView workbookViewId="0">
      <selection activeCell="B6" sqref="B6"/>
    </sheetView>
  </sheetViews>
  <sheetFormatPr defaultRowHeight="15" x14ac:dyDescent="0.25"/>
  <cols>
    <col min="1" max="1" width="37.85546875" customWidth="1"/>
    <col min="2" max="2" width="17.5703125" style="1" bestFit="1" customWidth="1"/>
    <col min="4" max="4" width="11.5703125" bestFit="1" customWidth="1"/>
  </cols>
  <sheetData>
    <row r="1" spans="1:22" x14ac:dyDescent="0.25">
      <c r="A1" t="s">
        <v>212</v>
      </c>
    </row>
    <row r="2" spans="1:22" ht="21" x14ac:dyDescent="0.35">
      <c r="A2" s="13" t="s">
        <v>204</v>
      </c>
    </row>
    <row r="3" spans="1:22" x14ac:dyDescent="0.25">
      <c r="A3" s="62"/>
    </row>
    <row r="4" spans="1:22" ht="18.75" x14ac:dyDescent="0.3">
      <c r="A4" s="12" t="s">
        <v>50</v>
      </c>
      <c r="B4" s="3"/>
    </row>
    <row r="5" spans="1:22" ht="15.75" x14ac:dyDescent="0.25">
      <c r="A5" s="47" t="s">
        <v>3</v>
      </c>
      <c r="B5" s="48"/>
    </row>
    <row r="6" spans="1:22" x14ac:dyDescent="0.25">
      <c r="A6" s="49" t="s">
        <v>226</v>
      </c>
      <c r="B6" s="57">
        <v>0.5</v>
      </c>
      <c r="D6" s="110" t="s">
        <v>228</v>
      </c>
      <c r="E6" s="110"/>
      <c r="F6" s="110"/>
      <c r="G6" s="110"/>
      <c r="H6" s="110"/>
      <c r="I6" s="110"/>
      <c r="J6" s="110"/>
      <c r="K6" s="110"/>
      <c r="L6" s="110"/>
      <c r="M6" s="110"/>
      <c r="N6" s="110"/>
      <c r="O6" s="110"/>
      <c r="P6" s="110"/>
      <c r="Q6" s="110"/>
      <c r="R6" s="110"/>
      <c r="S6" s="110"/>
      <c r="T6" s="110"/>
      <c r="U6" s="110"/>
    </row>
    <row r="7" spans="1:22" x14ac:dyDescent="0.25">
      <c r="A7" s="49" t="s">
        <v>174</v>
      </c>
      <c r="B7" s="56">
        <v>45</v>
      </c>
      <c r="D7" s="110" t="s">
        <v>175</v>
      </c>
      <c r="E7" s="110"/>
      <c r="F7" s="110"/>
      <c r="G7" s="110"/>
      <c r="H7" s="110"/>
      <c r="I7" s="110"/>
      <c r="J7" s="110"/>
      <c r="K7" s="110"/>
      <c r="L7" s="110"/>
      <c r="M7" s="110"/>
      <c r="N7" s="110"/>
      <c r="O7" s="110"/>
      <c r="P7" s="110"/>
      <c r="Q7" s="110"/>
      <c r="R7" s="110"/>
      <c r="S7" s="110"/>
      <c r="T7" s="110"/>
      <c r="U7" s="110"/>
    </row>
    <row r="8" spans="1:22" x14ac:dyDescent="0.25">
      <c r="A8" s="49" t="s">
        <v>5</v>
      </c>
      <c r="B8" s="50">
        <f>(('Base numbers'!B8/'Base numbers'!B53)*(B7*8))*B6</f>
        <v>5649.2109038737444</v>
      </c>
      <c r="D8" s="115" t="s">
        <v>227</v>
      </c>
      <c r="E8" s="115"/>
      <c r="F8" s="115"/>
      <c r="G8" s="115"/>
      <c r="H8" s="115"/>
      <c r="I8" s="115"/>
      <c r="J8" s="115"/>
      <c r="K8" s="115"/>
      <c r="L8" s="115"/>
      <c r="M8" s="115"/>
      <c r="N8" s="115"/>
      <c r="O8" s="115"/>
      <c r="P8" s="115"/>
      <c r="Q8" s="115"/>
      <c r="R8" s="115"/>
      <c r="S8" s="115"/>
      <c r="T8" s="115"/>
      <c r="U8" s="115"/>
    </row>
    <row r="9" spans="1:22" x14ac:dyDescent="0.25">
      <c r="A9" s="49" t="s">
        <v>6</v>
      </c>
      <c r="B9" s="51">
        <f>(('Base numbers'!B35/'Base numbers'!B53)*(B7*8))*B6</f>
        <v>4707.6757532281199</v>
      </c>
      <c r="D9" s="110" t="s">
        <v>176</v>
      </c>
      <c r="E9" s="110"/>
      <c r="F9" s="110"/>
      <c r="G9" s="110"/>
      <c r="H9" s="110"/>
      <c r="I9" s="110"/>
      <c r="J9" s="110"/>
      <c r="K9" s="110"/>
      <c r="L9" s="110"/>
      <c r="M9" s="110"/>
      <c r="N9" s="110"/>
      <c r="O9" s="110"/>
      <c r="P9" s="110"/>
      <c r="Q9" s="110"/>
      <c r="R9" s="110"/>
      <c r="S9" s="110"/>
      <c r="T9" s="110"/>
      <c r="U9" s="110"/>
    </row>
    <row r="10" spans="1:22" x14ac:dyDescent="0.25">
      <c r="A10" s="49" t="s">
        <v>7</v>
      </c>
      <c r="B10" s="55">
        <v>0</v>
      </c>
      <c r="D10" s="110" t="s">
        <v>51</v>
      </c>
      <c r="E10" s="110"/>
      <c r="F10" s="110"/>
      <c r="G10" s="110"/>
      <c r="H10" s="110"/>
      <c r="I10" s="110"/>
      <c r="J10" s="110"/>
      <c r="K10" s="110"/>
      <c r="L10" s="110"/>
      <c r="M10" s="110"/>
      <c r="N10" s="110"/>
      <c r="O10" s="110"/>
      <c r="P10" s="110"/>
      <c r="Q10" s="110"/>
      <c r="R10" s="110"/>
      <c r="S10" s="110"/>
      <c r="T10" s="110"/>
      <c r="U10" s="110"/>
    </row>
    <row r="11" spans="1:22" x14ac:dyDescent="0.25">
      <c r="A11" s="52" t="s">
        <v>52</v>
      </c>
      <c r="B11" s="53">
        <f>SUM(B8:B10)</f>
        <v>10356.886657101864</v>
      </c>
    </row>
    <row r="12" spans="1:22" x14ac:dyDescent="0.25">
      <c r="B12" s="2"/>
    </row>
    <row r="13" spans="1:22" ht="15.75" x14ac:dyDescent="0.25">
      <c r="A13" s="47" t="s">
        <v>8</v>
      </c>
      <c r="B13" s="54"/>
    </row>
    <row r="14" spans="1:22" x14ac:dyDescent="0.25">
      <c r="A14" s="49" t="s">
        <v>10</v>
      </c>
      <c r="B14" s="55">
        <v>30000</v>
      </c>
      <c r="D14" s="110" t="s">
        <v>58</v>
      </c>
      <c r="E14" s="110"/>
      <c r="F14" s="110"/>
      <c r="G14" s="110"/>
      <c r="H14" s="110"/>
      <c r="I14" s="110"/>
      <c r="J14" s="110"/>
      <c r="K14" s="110"/>
      <c r="L14" s="110"/>
      <c r="M14" s="110"/>
      <c r="N14" s="110"/>
      <c r="O14" s="110"/>
      <c r="P14" s="110"/>
      <c r="Q14" s="110"/>
      <c r="R14" s="110"/>
      <c r="S14" s="110"/>
      <c r="T14" s="110"/>
      <c r="U14" s="110"/>
    </row>
    <row r="15" spans="1:22" x14ac:dyDescent="0.25">
      <c r="A15" s="49" t="s">
        <v>117</v>
      </c>
      <c r="B15" s="50">
        <f>IF(B27&gt;1,0,(B14/B27)*50%)</f>
        <v>0</v>
      </c>
      <c r="D15" s="110" t="s">
        <v>229</v>
      </c>
      <c r="E15" s="110"/>
      <c r="F15" s="110"/>
      <c r="G15" s="110"/>
      <c r="H15" s="110"/>
      <c r="I15" s="110"/>
      <c r="J15" s="110"/>
      <c r="K15" s="110"/>
      <c r="L15" s="110"/>
      <c r="M15" s="110"/>
      <c r="N15" s="110"/>
      <c r="O15" s="110"/>
      <c r="P15" s="110"/>
      <c r="Q15" s="110"/>
      <c r="R15" s="110"/>
      <c r="S15" s="110"/>
      <c r="T15" s="110"/>
      <c r="U15" s="110"/>
      <c r="V15" s="110"/>
    </row>
    <row r="16" spans="1:22" x14ac:dyDescent="0.25">
      <c r="A16" s="49" t="s">
        <v>4</v>
      </c>
      <c r="B16" s="58">
        <v>0.2</v>
      </c>
      <c r="D16" s="110" t="s">
        <v>59</v>
      </c>
      <c r="E16" s="110"/>
      <c r="F16" s="110"/>
      <c r="G16" s="110"/>
      <c r="H16" s="110"/>
      <c r="I16" s="110"/>
      <c r="J16" s="110"/>
      <c r="K16" s="110"/>
      <c r="L16" s="110"/>
      <c r="M16" s="110"/>
      <c r="N16" s="110"/>
      <c r="O16" s="110"/>
      <c r="P16" s="110"/>
      <c r="Q16" s="110"/>
      <c r="R16" s="110"/>
      <c r="S16" s="110"/>
      <c r="T16" s="110"/>
      <c r="U16" s="110"/>
    </row>
    <row r="17" spans="1:21" x14ac:dyDescent="0.25">
      <c r="A17" s="49" t="s">
        <v>9</v>
      </c>
      <c r="B17" s="59">
        <v>5</v>
      </c>
      <c r="D17" s="110" t="s">
        <v>60</v>
      </c>
      <c r="E17" s="110"/>
      <c r="F17" s="110"/>
      <c r="G17" s="110"/>
      <c r="H17" s="110"/>
      <c r="I17" s="110"/>
      <c r="J17" s="110"/>
      <c r="K17" s="110"/>
      <c r="L17" s="110"/>
      <c r="M17" s="110"/>
      <c r="N17" s="110"/>
      <c r="O17" s="110"/>
      <c r="P17" s="110"/>
      <c r="Q17" s="110"/>
      <c r="R17" s="110"/>
      <c r="S17" s="110"/>
      <c r="T17" s="110"/>
      <c r="U17" s="110"/>
    </row>
    <row r="18" spans="1:21" x14ac:dyDescent="0.25">
      <c r="A18" s="49" t="s">
        <v>2</v>
      </c>
      <c r="B18" s="50">
        <f>((('Base numbers'!B35/'Base numbers'!B53)*(B7*8))*B16)*B17</f>
        <v>9415.3515064562416</v>
      </c>
      <c r="D18" s="110" t="s">
        <v>177</v>
      </c>
      <c r="E18" s="110"/>
      <c r="F18" s="110"/>
      <c r="G18" s="110"/>
      <c r="H18" s="110"/>
      <c r="I18" s="110"/>
      <c r="J18" s="110"/>
      <c r="K18" s="110"/>
      <c r="L18" s="110"/>
      <c r="M18" s="110"/>
      <c r="N18" s="110"/>
      <c r="O18" s="110"/>
      <c r="P18" s="110"/>
      <c r="Q18" s="110"/>
      <c r="R18" s="110"/>
      <c r="S18" s="110"/>
      <c r="T18" s="110"/>
      <c r="U18" s="110"/>
    </row>
    <row r="19" spans="1:21" x14ac:dyDescent="0.25">
      <c r="A19" s="52" t="s">
        <v>53</v>
      </c>
      <c r="B19" s="53">
        <f>B15+B18</f>
        <v>9415.3515064562416</v>
      </c>
    </row>
    <row r="21" spans="1:21" ht="15.75" x14ac:dyDescent="0.25">
      <c r="A21" s="22" t="s">
        <v>185</v>
      </c>
      <c r="B21" s="23"/>
    </row>
    <row r="22" spans="1:21" x14ac:dyDescent="0.25">
      <c r="A22" s="24" t="s">
        <v>11</v>
      </c>
      <c r="B22" s="40">
        <v>7000</v>
      </c>
      <c r="D22" s="110" t="s">
        <v>61</v>
      </c>
      <c r="E22" s="110"/>
      <c r="F22" s="110"/>
      <c r="G22" s="110"/>
      <c r="H22" s="110"/>
      <c r="I22" s="110"/>
    </row>
    <row r="23" spans="1:21" x14ac:dyDescent="0.25">
      <c r="A23" s="24" t="s">
        <v>54</v>
      </c>
      <c r="B23" s="40">
        <v>0</v>
      </c>
      <c r="D23" s="110" t="s">
        <v>151</v>
      </c>
      <c r="E23" s="110"/>
      <c r="F23" s="110"/>
      <c r="G23" s="110"/>
      <c r="H23" s="110"/>
      <c r="I23" s="110"/>
    </row>
    <row r="24" spans="1:21" x14ac:dyDescent="0.25">
      <c r="A24" s="25" t="s">
        <v>55</v>
      </c>
      <c r="B24" s="26">
        <f>(SUM(B22:B23))</f>
        <v>7000</v>
      </c>
    </row>
    <row r="26" spans="1:21" ht="15.75" x14ac:dyDescent="0.25">
      <c r="A26" s="47" t="s">
        <v>12</v>
      </c>
      <c r="B26" s="50"/>
      <c r="D26" s="110" t="s">
        <v>14</v>
      </c>
      <c r="E26" s="110"/>
      <c r="F26" s="110"/>
      <c r="G26" s="110"/>
      <c r="H26" s="110"/>
    </row>
    <row r="27" spans="1:21" x14ac:dyDescent="0.25">
      <c r="A27" s="49" t="s">
        <v>13</v>
      </c>
      <c r="B27" s="60">
        <v>5</v>
      </c>
    </row>
    <row r="28" spans="1:21" x14ac:dyDescent="0.25">
      <c r="A28" s="49" t="s">
        <v>15</v>
      </c>
      <c r="B28" s="50">
        <f>('Base numbers'!B8*B27)*15%</f>
        <v>45193.687230989955</v>
      </c>
      <c r="D28" s="116" t="s">
        <v>230</v>
      </c>
      <c r="E28" s="116"/>
      <c r="F28" s="116"/>
      <c r="G28" s="116"/>
      <c r="H28" s="116"/>
      <c r="I28" s="116"/>
      <c r="J28" s="116"/>
      <c r="K28" s="116"/>
      <c r="L28" s="116"/>
      <c r="M28" s="116"/>
      <c r="N28" s="116"/>
      <c r="O28" s="116"/>
      <c r="P28" s="116"/>
      <c r="Q28" s="116"/>
      <c r="R28" s="116"/>
      <c r="S28" s="116"/>
      <c r="T28" s="116"/>
    </row>
    <row r="29" spans="1:21" x14ac:dyDescent="0.25">
      <c r="A29" s="52" t="s">
        <v>56</v>
      </c>
      <c r="B29" s="53">
        <f>B28</f>
        <v>45193.687230989955</v>
      </c>
      <c r="D29" s="10"/>
    </row>
    <row r="31" spans="1:21" ht="15.75" x14ac:dyDescent="0.25">
      <c r="A31" s="22" t="s">
        <v>16</v>
      </c>
      <c r="B31" s="23"/>
    </row>
    <row r="32" spans="1:21" x14ac:dyDescent="0.25">
      <c r="A32" s="24" t="s">
        <v>17</v>
      </c>
      <c r="B32" s="40">
        <v>0</v>
      </c>
      <c r="D32" s="110" t="s">
        <v>152</v>
      </c>
      <c r="E32" s="110"/>
      <c r="F32" s="110"/>
      <c r="G32" s="110"/>
    </row>
    <row r="33" spans="1:20" x14ac:dyDescent="0.25">
      <c r="A33" s="24" t="s">
        <v>18</v>
      </c>
      <c r="B33" s="40">
        <v>0</v>
      </c>
      <c r="D33" s="110" t="s">
        <v>153</v>
      </c>
      <c r="E33" s="110"/>
      <c r="F33" s="110"/>
      <c r="G33" s="110"/>
      <c r="H33" s="110"/>
      <c r="I33" s="110"/>
      <c r="J33" s="110"/>
      <c r="K33" s="110"/>
      <c r="L33" s="110"/>
    </row>
    <row r="34" spans="1:20" x14ac:dyDescent="0.25">
      <c r="A34" s="25" t="s">
        <v>57</v>
      </c>
      <c r="B34" s="26">
        <f>SUM(B32:B33)</f>
        <v>0</v>
      </c>
    </row>
    <row r="36" spans="1:20" ht="15.75" x14ac:dyDescent="0.25">
      <c r="A36" s="47" t="s">
        <v>19</v>
      </c>
      <c r="B36" s="50"/>
    </row>
    <row r="37" spans="1:20" x14ac:dyDescent="0.25">
      <c r="A37" s="49" t="s">
        <v>20</v>
      </c>
      <c r="B37" s="61">
        <v>0</v>
      </c>
      <c r="D37" s="110" t="s">
        <v>62</v>
      </c>
      <c r="E37" s="110"/>
      <c r="F37" s="110"/>
      <c r="G37" s="110"/>
      <c r="H37" s="110"/>
      <c r="I37" s="110"/>
      <c r="J37" s="110"/>
      <c r="K37" s="110"/>
      <c r="L37" s="110"/>
      <c r="M37" s="110"/>
      <c r="N37" s="110"/>
      <c r="O37" s="110"/>
      <c r="P37" s="110"/>
      <c r="Q37" s="110"/>
      <c r="R37" s="110"/>
      <c r="S37" s="110"/>
      <c r="T37" s="110"/>
    </row>
    <row r="38" spans="1:20" x14ac:dyDescent="0.25">
      <c r="A38" s="49" t="s">
        <v>21</v>
      </c>
      <c r="B38" s="55">
        <v>0</v>
      </c>
      <c r="D38" s="110" t="s">
        <v>197</v>
      </c>
      <c r="E38" s="110"/>
      <c r="F38" s="110"/>
      <c r="G38" s="110"/>
      <c r="H38" s="110"/>
      <c r="I38" s="110"/>
      <c r="J38" s="110"/>
      <c r="K38" s="110"/>
      <c r="L38" s="110"/>
      <c r="M38" s="110"/>
      <c r="N38" s="110"/>
      <c r="O38" s="110"/>
      <c r="P38" s="110"/>
      <c r="Q38" s="110"/>
      <c r="R38" s="110"/>
      <c r="S38" s="110"/>
      <c r="T38" s="110"/>
    </row>
    <row r="39" spans="1:20" x14ac:dyDescent="0.25">
      <c r="A39" s="107" t="s">
        <v>22</v>
      </c>
      <c r="B39" s="50"/>
      <c r="D39" s="110" t="s">
        <v>231</v>
      </c>
      <c r="E39" s="110"/>
      <c r="F39" s="110"/>
      <c r="G39" s="110"/>
      <c r="H39" s="110"/>
      <c r="I39" s="110"/>
      <c r="J39" s="110"/>
      <c r="K39" s="110"/>
      <c r="L39" s="110"/>
      <c r="M39" s="110"/>
      <c r="N39" s="110"/>
      <c r="O39" s="110"/>
      <c r="P39" s="110"/>
      <c r="Q39" s="110"/>
      <c r="R39" s="110"/>
      <c r="S39" s="110"/>
      <c r="T39" s="110"/>
    </row>
    <row r="40" spans="1:20" x14ac:dyDescent="0.25">
      <c r="A40" s="49" t="s">
        <v>23</v>
      </c>
      <c r="B40" s="55">
        <v>0</v>
      </c>
    </row>
    <row r="41" spans="1:20" x14ac:dyDescent="0.25">
      <c r="A41" s="52" t="s">
        <v>63</v>
      </c>
      <c r="B41" s="53">
        <f>((B38*50%)+B40)*B37</f>
        <v>0</v>
      </c>
    </row>
    <row r="44" spans="1:20" s="19" customFormat="1" ht="18.75" x14ac:dyDescent="0.3">
      <c r="A44" s="76" t="s">
        <v>64</v>
      </c>
      <c r="B44" s="77">
        <f>B11+B19+B24+B29+B34+B41</f>
        <v>71965.92539454806</v>
      </c>
    </row>
  </sheetData>
  <sheetProtection algorithmName="SHA-512" hashValue="UYZSYdSjrJmY1Np0wfeh+62PzdhWIcKY9yIaWwKE5R9MBp3+QAwJBMZs+VW7NIqYd8yFWDFaVWsK9dRUOk4PaA==" saltValue="32VWh6lwEuT3R0KvuGCTwg==" spinCount="100000" sheet="1" objects="1" scenarios="1" selectLockedCells="1"/>
  <mergeCells count="19">
    <mergeCell ref="D39:T39"/>
    <mergeCell ref="D26:H26"/>
    <mergeCell ref="D28:T28"/>
    <mergeCell ref="D32:G32"/>
    <mergeCell ref="D33:L33"/>
    <mergeCell ref="D37:T37"/>
    <mergeCell ref="D38:T38"/>
    <mergeCell ref="D23:I23"/>
    <mergeCell ref="D6:U6"/>
    <mergeCell ref="D7:U7"/>
    <mergeCell ref="D8:U8"/>
    <mergeCell ref="D9:U9"/>
    <mergeCell ref="D10:U10"/>
    <mergeCell ref="D14:U14"/>
    <mergeCell ref="D15:V15"/>
    <mergeCell ref="D16:U16"/>
    <mergeCell ref="D17:U17"/>
    <mergeCell ref="D18:U18"/>
    <mergeCell ref="D22:I2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7"/>
  <sheetViews>
    <sheetView workbookViewId="0">
      <selection activeCell="A3" sqref="A3"/>
    </sheetView>
  </sheetViews>
  <sheetFormatPr defaultRowHeight="15" x14ac:dyDescent="0.25"/>
  <cols>
    <col min="1" max="1" width="46.42578125" customWidth="1"/>
    <col min="2" max="2" width="16" style="1" bestFit="1" customWidth="1"/>
    <col min="4" max="4" width="12.5703125" bestFit="1" customWidth="1"/>
  </cols>
  <sheetData>
    <row r="1" spans="1:14" x14ac:dyDescent="0.25">
      <c r="A1" t="s">
        <v>212</v>
      </c>
    </row>
    <row r="2" spans="1:14" ht="21" x14ac:dyDescent="0.35">
      <c r="A2" s="13" t="s">
        <v>205</v>
      </c>
    </row>
    <row r="3" spans="1:14" x14ac:dyDescent="0.25">
      <c r="A3" s="62"/>
    </row>
    <row r="4" spans="1:14" ht="21" x14ac:dyDescent="0.35">
      <c r="A4" s="13" t="s">
        <v>67</v>
      </c>
      <c r="D4" s="116" t="s">
        <v>65</v>
      </c>
      <c r="E4" s="116"/>
      <c r="F4" s="116"/>
      <c r="G4" s="116"/>
      <c r="H4" s="116"/>
      <c r="I4" s="116"/>
      <c r="J4" s="116"/>
      <c r="K4" s="116"/>
      <c r="L4" s="116"/>
      <c r="M4" s="116"/>
      <c r="N4" s="116"/>
    </row>
    <row r="5" spans="1:14" ht="15.75" x14ac:dyDescent="0.25">
      <c r="A5" s="35" t="s">
        <v>25</v>
      </c>
      <c r="B5" s="36"/>
    </row>
    <row r="6" spans="1:14" x14ac:dyDescent="0.25">
      <c r="A6" s="37" t="s">
        <v>24</v>
      </c>
      <c r="B6" s="41">
        <v>0</v>
      </c>
    </row>
    <row r="7" spans="1:14" x14ac:dyDescent="0.25">
      <c r="A7" s="37" t="s">
        <v>26</v>
      </c>
      <c r="B7" s="41">
        <f>25%*'Base numbers'!B8</f>
        <v>15064.562410329985</v>
      </c>
      <c r="D7" s="110" t="s">
        <v>27</v>
      </c>
      <c r="E7" s="110"/>
      <c r="F7" s="110"/>
      <c r="G7" s="110"/>
    </row>
    <row r="8" spans="1:14" x14ac:dyDescent="0.25">
      <c r="A8" s="38" t="s">
        <v>66</v>
      </c>
      <c r="B8" s="39">
        <f>SUM(B6+B7)</f>
        <v>15064.562410329985</v>
      </c>
    </row>
    <row r="10" spans="1:14" ht="15.75" x14ac:dyDescent="0.25">
      <c r="A10" s="35" t="s">
        <v>28</v>
      </c>
      <c r="B10" s="66" t="s">
        <v>91</v>
      </c>
      <c r="D10" s="110" t="s">
        <v>68</v>
      </c>
      <c r="E10" s="110"/>
      <c r="F10" s="110"/>
      <c r="G10" s="110"/>
      <c r="H10" s="110"/>
      <c r="I10" s="110"/>
      <c r="J10" s="110"/>
      <c r="K10" s="110"/>
    </row>
    <row r="11" spans="1:14" x14ac:dyDescent="0.25">
      <c r="A11" s="37" t="s">
        <v>29</v>
      </c>
      <c r="B11" s="67">
        <v>7</v>
      </c>
      <c r="D11" s="116" t="s">
        <v>156</v>
      </c>
      <c r="E11" s="116"/>
      <c r="F11" s="116"/>
      <c r="G11" s="116"/>
      <c r="H11" s="116"/>
    </row>
    <row r="12" spans="1:14" x14ac:dyDescent="0.25">
      <c r="A12" s="37" t="s">
        <v>30</v>
      </c>
      <c r="B12" s="67">
        <v>3</v>
      </c>
      <c r="D12" s="110" t="s">
        <v>156</v>
      </c>
      <c r="E12" s="110"/>
      <c r="F12" s="110"/>
      <c r="G12" s="110"/>
      <c r="H12" s="110"/>
    </row>
    <row r="13" spans="1:14" x14ac:dyDescent="0.25">
      <c r="A13" s="37" t="s">
        <v>31</v>
      </c>
      <c r="B13" s="67">
        <f>(B21*0.25)</f>
        <v>18.75</v>
      </c>
      <c r="D13" s="110" t="s">
        <v>158</v>
      </c>
      <c r="E13" s="110"/>
      <c r="F13" s="110"/>
      <c r="G13" s="110"/>
      <c r="H13" s="110"/>
    </row>
    <row r="14" spans="1:14" x14ac:dyDescent="0.25">
      <c r="A14" s="37" t="s">
        <v>84</v>
      </c>
      <c r="B14" s="67">
        <f>B22*2</f>
        <v>10</v>
      </c>
      <c r="D14" s="110" t="s">
        <v>159</v>
      </c>
      <c r="E14" s="110"/>
      <c r="F14" s="110"/>
      <c r="G14" s="110"/>
      <c r="H14" s="110"/>
    </row>
    <row r="15" spans="1:14" x14ac:dyDescent="0.25">
      <c r="A15" s="37" t="s">
        <v>33</v>
      </c>
      <c r="B15" s="67">
        <f>B22/2</f>
        <v>2.5</v>
      </c>
      <c r="D15" s="110" t="s">
        <v>162</v>
      </c>
      <c r="E15" s="110"/>
      <c r="F15" s="110"/>
      <c r="G15" s="110"/>
      <c r="H15" s="110"/>
    </row>
    <row r="16" spans="1:14" x14ac:dyDescent="0.25">
      <c r="A16" s="37" t="s">
        <v>34</v>
      </c>
      <c r="B16" s="67">
        <f>B23*3</f>
        <v>6</v>
      </c>
      <c r="D16" s="110" t="s">
        <v>160</v>
      </c>
      <c r="E16" s="110"/>
      <c r="F16" s="110"/>
      <c r="G16" s="110"/>
      <c r="H16" s="110"/>
    </row>
    <row r="17" spans="1:18" x14ac:dyDescent="0.25">
      <c r="A17" s="37" t="s">
        <v>35</v>
      </c>
      <c r="B17" s="67">
        <v>4</v>
      </c>
      <c r="D17" s="110" t="s">
        <v>156</v>
      </c>
      <c r="E17" s="110"/>
      <c r="F17" s="110"/>
      <c r="G17" s="110"/>
      <c r="H17" s="110"/>
    </row>
    <row r="18" spans="1:18" x14ac:dyDescent="0.25">
      <c r="A18" s="37" t="s">
        <v>36</v>
      </c>
      <c r="B18" s="67">
        <f>(B22-1)*0.5</f>
        <v>2</v>
      </c>
      <c r="D18" s="110" t="s">
        <v>161</v>
      </c>
      <c r="E18" s="110"/>
      <c r="F18" s="110"/>
      <c r="G18" s="110"/>
      <c r="H18" s="110"/>
    </row>
    <row r="19" spans="1:18" x14ac:dyDescent="0.25">
      <c r="A19" s="38" t="s">
        <v>82</v>
      </c>
      <c r="B19" s="64">
        <f>SUM(B11:B18)</f>
        <v>53.25</v>
      </c>
    </row>
    <row r="20" spans="1:18" x14ac:dyDescent="0.25">
      <c r="A20" s="4"/>
      <c r="B20" s="15"/>
    </row>
    <row r="21" spans="1:18" x14ac:dyDescent="0.25">
      <c r="A21" s="25" t="s">
        <v>157</v>
      </c>
      <c r="B21" s="68">
        <v>75</v>
      </c>
    </row>
    <row r="22" spans="1:18" x14ac:dyDescent="0.25">
      <c r="A22" s="25" t="s">
        <v>115</v>
      </c>
      <c r="B22" s="68">
        <v>5</v>
      </c>
    </row>
    <row r="23" spans="1:18" x14ac:dyDescent="0.25">
      <c r="A23" s="25" t="s">
        <v>92</v>
      </c>
      <c r="B23" s="68">
        <v>2</v>
      </c>
    </row>
    <row r="24" spans="1:18" x14ac:dyDescent="0.25">
      <c r="A24" s="4"/>
      <c r="B24" s="15"/>
    </row>
    <row r="25" spans="1:18" x14ac:dyDescent="0.25">
      <c r="A25" s="38" t="s">
        <v>85</v>
      </c>
      <c r="B25" s="39">
        <f>((B11+B12+B15+B17)*('Base numbers'!B30/'Base numbers'!B53))+((B13+B14+B16+B18)*('Base numbers'!B24/'Base numbers'!B53))</f>
        <v>1913.8943687230985</v>
      </c>
      <c r="D25" s="117" t="s">
        <v>192</v>
      </c>
      <c r="E25" s="117"/>
      <c r="F25" s="117"/>
      <c r="G25" s="117"/>
      <c r="H25" s="117"/>
      <c r="I25" s="117"/>
      <c r="J25" s="117"/>
      <c r="K25" s="117"/>
      <c r="L25" s="117"/>
      <c r="M25" s="117"/>
      <c r="N25" s="117"/>
      <c r="O25" s="117"/>
    </row>
    <row r="26" spans="1:18" x14ac:dyDescent="0.25">
      <c r="E26" s="5"/>
    </row>
    <row r="27" spans="1:18" ht="15.75" x14ac:dyDescent="0.25">
      <c r="A27" s="30" t="s">
        <v>37</v>
      </c>
      <c r="B27" s="31"/>
    </row>
    <row r="28" spans="1:18" x14ac:dyDescent="0.25">
      <c r="A28" s="32" t="s">
        <v>38</v>
      </c>
      <c r="B28" s="69">
        <v>3</v>
      </c>
      <c r="D28" s="110" t="s">
        <v>83</v>
      </c>
      <c r="E28" s="110"/>
      <c r="F28" s="110"/>
      <c r="G28" s="110"/>
      <c r="H28" s="110"/>
      <c r="I28" s="110"/>
      <c r="J28" s="110"/>
      <c r="K28" s="110"/>
      <c r="L28" s="110"/>
      <c r="M28" s="110"/>
      <c r="N28" s="110"/>
      <c r="O28" s="110"/>
      <c r="P28" s="110"/>
      <c r="Q28" s="110"/>
      <c r="R28" s="110"/>
    </row>
    <row r="29" spans="1:18" x14ac:dyDescent="0.25">
      <c r="A29" s="32" t="s">
        <v>39</v>
      </c>
      <c r="B29" s="70">
        <v>1.5</v>
      </c>
      <c r="D29" s="110" t="s">
        <v>93</v>
      </c>
      <c r="E29" s="110"/>
      <c r="F29" s="110"/>
    </row>
    <row r="30" spans="1:18" x14ac:dyDescent="0.25">
      <c r="A30" s="32" t="s">
        <v>32</v>
      </c>
      <c r="B30" s="70">
        <f>(B22*B28)</f>
        <v>15</v>
      </c>
      <c r="D30" s="110" t="s">
        <v>198</v>
      </c>
      <c r="E30" s="110"/>
      <c r="F30" s="110"/>
      <c r="G30" s="110"/>
      <c r="H30" s="110"/>
      <c r="I30" s="110"/>
      <c r="J30" s="110"/>
      <c r="K30" s="110"/>
      <c r="L30" s="110"/>
      <c r="M30" s="110"/>
      <c r="N30" s="110"/>
      <c r="O30" s="110"/>
    </row>
    <row r="31" spans="1:18" x14ac:dyDescent="0.25">
      <c r="A31" s="32" t="s">
        <v>154</v>
      </c>
      <c r="B31" s="70">
        <f>((B28)*B22)/2</f>
        <v>7.5</v>
      </c>
      <c r="D31" s="110" t="s">
        <v>199</v>
      </c>
      <c r="E31" s="110"/>
      <c r="F31" s="110"/>
      <c r="G31" s="110"/>
      <c r="H31" s="110"/>
      <c r="I31" s="110"/>
      <c r="J31" s="110"/>
      <c r="K31" s="110"/>
      <c r="L31" s="110"/>
      <c r="M31" s="110"/>
      <c r="N31" s="110"/>
      <c r="O31" s="110"/>
    </row>
    <row r="32" spans="1:18" x14ac:dyDescent="0.25">
      <c r="A32" s="32" t="s">
        <v>155</v>
      </c>
      <c r="B32" s="70">
        <f>B22/2</f>
        <v>2.5</v>
      </c>
      <c r="D32" s="110" t="s">
        <v>200</v>
      </c>
      <c r="E32" s="110"/>
      <c r="F32" s="110"/>
      <c r="G32" s="110"/>
      <c r="H32" s="110"/>
      <c r="I32" s="110"/>
      <c r="J32" s="110"/>
      <c r="K32" s="110"/>
      <c r="L32" s="110"/>
      <c r="M32" s="110"/>
      <c r="N32" s="110"/>
      <c r="O32" s="110"/>
    </row>
    <row r="33" spans="1:15" x14ac:dyDescent="0.25">
      <c r="A33" s="33" t="s">
        <v>82</v>
      </c>
      <c r="B33" s="65">
        <f>SUM(B29:B31)</f>
        <v>24</v>
      </c>
      <c r="K33" s="21"/>
    </row>
    <row r="34" spans="1:15" x14ac:dyDescent="0.25">
      <c r="B34" s="9"/>
    </row>
    <row r="35" spans="1:15" x14ac:dyDescent="0.25">
      <c r="A35" s="33" t="s">
        <v>86</v>
      </c>
      <c r="B35" s="34">
        <f>(ROUND(('Base numbers'!B35/'Base numbers'!B53),2))*(((B28-1)*B22)+(B22*((B28-1)/2)))+('Base numbers'!B30/'Base numbers'!B53)*(B29+B32+B22+(B22/2))</f>
        <v>864.88570062171198</v>
      </c>
      <c r="D35" s="113" t="s">
        <v>201</v>
      </c>
      <c r="E35" s="113"/>
      <c r="F35" s="113"/>
      <c r="G35" s="113"/>
      <c r="H35" s="113"/>
      <c r="I35" s="113"/>
      <c r="J35" s="113"/>
      <c r="K35" s="113"/>
      <c r="L35" s="113"/>
      <c r="M35" s="113"/>
      <c r="N35" s="113"/>
      <c r="O35" s="113"/>
    </row>
    <row r="36" spans="1:15" x14ac:dyDescent="0.25">
      <c r="C36" s="5"/>
      <c r="D36" s="5"/>
      <c r="G36" s="20"/>
    </row>
    <row r="37" spans="1:15" ht="15.75" x14ac:dyDescent="0.25">
      <c r="A37" s="22" t="s">
        <v>87</v>
      </c>
      <c r="B37" s="23"/>
      <c r="D37" s="110" t="s">
        <v>88</v>
      </c>
      <c r="E37" s="110"/>
      <c r="F37" s="110"/>
      <c r="G37" s="110"/>
      <c r="H37" s="110"/>
      <c r="I37" s="110"/>
      <c r="J37" s="110"/>
      <c r="K37" s="110"/>
      <c r="L37" s="110"/>
    </row>
    <row r="38" spans="1:15" x14ac:dyDescent="0.25">
      <c r="A38" s="24" t="s">
        <v>94</v>
      </c>
      <c r="B38" s="72">
        <v>2</v>
      </c>
    </row>
    <row r="39" spans="1:15" x14ac:dyDescent="0.25">
      <c r="A39" s="24" t="s">
        <v>89</v>
      </c>
      <c r="B39" s="40">
        <v>42000</v>
      </c>
      <c r="D39" s="110" t="s">
        <v>202</v>
      </c>
      <c r="E39" s="110"/>
      <c r="F39" s="110"/>
      <c r="G39" s="110"/>
      <c r="H39" s="110"/>
      <c r="I39" s="110"/>
      <c r="J39" s="110"/>
      <c r="K39" s="110"/>
      <c r="L39" s="110"/>
    </row>
    <row r="41" spans="1:15" x14ac:dyDescent="0.25">
      <c r="A41" s="25" t="s">
        <v>90</v>
      </c>
      <c r="B41" s="26">
        <f>((('Base numbers'!B24/'Base numbers'!B53)+('Base numbers'!B35/'Base numbers'!B53)+('Base numbers'!B40/'Base numbers'!B53))*(B38*1.5))</f>
        <v>257.80129124820655</v>
      </c>
      <c r="D41" s="110" t="s">
        <v>95</v>
      </c>
      <c r="E41" s="110"/>
      <c r="F41" s="110"/>
      <c r="G41" s="110"/>
      <c r="H41" s="110"/>
      <c r="I41" s="110"/>
      <c r="J41" s="110"/>
      <c r="K41" s="110"/>
      <c r="L41" s="110"/>
      <c r="M41" s="110"/>
      <c r="N41" s="110"/>
      <c r="O41" s="110"/>
    </row>
    <row r="43" spans="1:15" ht="15.75" x14ac:dyDescent="0.25">
      <c r="A43" s="35" t="s">
        <v>167</v>
      </c>
      <c r="B43" s="36"/>
      <c r="D43" s="110" t="s">
        <v>79</v>
      </c>
      <c r="E43" s="110"/>
      <c r="F43" s="110"/>
      <c r="G43" s="110"/>
      <c r="H43" s="110"/>
      <c r="I43" s="110"/>
      <c r="J43" s="110"/>
      <c r="K43" s="110"/>
    </row>
    <row r="44" spans="1:15" x14ac:dyDescent="0.25">
      <c r="A44" s="37" t="s">
        <v>40</v>
      </c>
      <c r="B44" s="41">
        <v>25</v>
      </c>
      <c r="D44" s="110" t="s">
        <v>73</v>
      </c>
      <c r="E44" s="110"/>
      <c r="F44" s="110"/>
      <c r="G44" s="110"/>
      <c r="H44" s="110"/>
      <c r="I44" s="110"/>
      <c r="J44" s="110"/>
      <c r="K44" s="110"/>
    </row>
    <row r="45" spans="1:15" x14ac:dyDescent="0.25">
      <c r="A45" s="37" t="s">
        <v>74</v>
      </c>
      <c r="B45" s="41">
        <f>10+8+20</f>
        <v>38</v>
      </c>
      <c r="D45" s="110" t="s">
        <v>75</v>
      </c>
      <c r="E45" s="110"/>
      <c r="F45" s="110"/>
      <c r="G45" s="110"/>
      <c r="H45" s="110"/>
      <c r="I45" s="110"/>
      <c r="J45" s="110"/>
      <c r="K45" s="110"/>
    </row>
    <row r="46" spans="1:15" x14ac:dyDescent="0.25">
      <c r="A46" s="37" t="s">
        <v>76</v>
      </c>
      <c r="B46" s="41"/>
      <c r="D46" s="110" t="s">
        <v>77</v>
      </c>
      <c r="E46" s="110"/>
      <c r="F46" s="110"/>
      <c r="G46" s="110"/>
      <c r="H46" s="110"/>
      <c r="I46" s="110"/>
      <c r="J46" s="110"/>
      <c r="K46" s="110"/>
    </row>
    <row r="47" spans="1:15" x14ac:dyDescent="0.25">
      <c r="A47" s="38" t="s">
        <v>78</v>
      </c>
      <c r="B47" s="39">
        <f>SUM(B44:B46)</f>
        <v>63</v>
      </c>
    </row>
    <row r="49" spans="1:15" ht="15.75" x14ac:dyDescent="0.25">
      <c r="A49" s="35" t="s">
        <v>41</v>
      </c>
      <c r="B49" s="36"/>
      <c r="D49" s="110" t="s">
        <v>42</v>
      </c>
      <c r="E49" s="110"/>
      <c r="F49" s="110"/>
      <c r="G49" s="110"/>
      <c r="H49" s="110"/>
    </row>
    <row r="50" spans="1:15" x14ac:dyDescent="0.25">
      <c r="A50" s="71" t="s">
        <v>69</v>
      </c>
      <c r="B50" s="41">
        <v>0</v>
      </c>
    </row>
    <row r="51" spans="1:15" x14ac:dyDescent="0.25">
      <c r="A51" s="71" t="s">
        <v>70</v>
      </c>
      <c r="B51" s="41">
        <v>0</v>
      </c>
    </row>
    <row r="52" spans="1:15" x14ac:dyDescent="0.25">
      <c r="A52" s="71" t="s">
        <v>71</v>
      </c>
      <c r="B52" s="41">
        <v>0</v>
      </c>
    </row>
    <row r="53" spans="1:15" x14ac:dyDescent="0.25">
      <c r="A53" s="38" t="s">
        <v>72</v>
      </c>
      <c r="B53" s="39">
        <f>(SUM(B50:B52))*B23</f>
        <v>0</v>
      </c>
      <c r="D53" s="110" t="s">
        <v>168</v>
      </c>
      <c r="E53" s="110"/>
      <c r="F53" s="110"/>
      <c r="G53" s="110"/>
      <c r="H53" s="110"/>
      <c r="I53" s="110"/>
      <c r="J53" s="110"/>
      <c r="K53" s="110"/>
      <c r="L53" s="110"/>
      <c r="M53" s="110"/>
      <c r="N53" s="110"/>
      <c r="O53" s="110"/>
    </row>
    <row r="55" spans="1:15" ht="18.75" x14ac:dyDescent="0.3">
      <c r="A55" s="78" t="s">
        <v>80</v>
      </c>
      <c r="B55" s="79">
        <f>B8+B25+B35+B41+B47+B53</f>
        <v>18164.143770923005</v>
      </c>
    </row>
    <row r="57" spans="1:15" x14ac:dyDescent="0.25">
      <c r="D57" s="5"/>
    </row>
  </sheetData>
  <sheetProtection algorithmName="SHA-512" hashValue="fCAcpMXUxkly8XcVzhhCn/p2DOAD7yUtzLPEl8QvIW5ZZc4L8jeUzbvPF+GIJkrzzqLauKLkbGZyfk77TXY56g==" saltValue="zM+qrnYRrWCRGgQJ4w83Ow==" spinCount="100000" sheet="1" objects="1" scenarios="1" selectLockedCells="1"/>
  <mergeCells count="27">
    <mergeCell ref="D45:K45"/>
    <mergeCell ref="D46:K46"/>
    <mergeCell ref="D49:H49"/>
    <mergeCell ref="D53:O53"/>
    <mergeCell ref="D37:L37"/>
    <mergeCell ref="D39:L39"/>
    <mergeCell ref="D41:O41"/>
    <mergeCell ref="D44:K44"/>
    <mergeCell ref="D43:K43"/>
    <mergeCell ref="D35:O35"/>
    <mergeCell ref="D14:H14"/>
    <mergeCell ref="D15:H15"/>
    <mergeCell ref="D16:H16"/>
    <mergeCell ref="D17:H17"/>
    <mergeCell ref="D18:H18"/>
    <mergeCell ref="D25:O25"/>
    <mergeCell ref="D28:R28"/>
    <mergeCell ref="D29:F29"/>
    <mergeCell ref="D30:O30"/>
    <mergeCell ref="D31:O31"/>
    <mergeCell ref="D32:O32"/>
    <mergeCell ref="D13:H13"/>
    <mergeCell ref="D4:N4"/>
    <mergeCell ref="D7:G7"/>
    <mergeCell ref="D10:K10"/>
    <mergeCell ref="D11:H11"/>
    <mergeCell ref="D12:H1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workbookViewId="0">
      <selection activeCell="A3" sqref="A3"/>
    </sheetView>
  </sheetViews>
  <sheetFormatPr defaultRowHeight="15" x14ac:dyDescent="0.25"/>
  <cols>
    <col min="1" max="1" width="35.85546875" customWidth="1"/>
    <col min="2" max="2" width="16" style="1" bestFit="1" customWidth="1"/>
    <col min="4" max="4" width="11.5703125" bestFit="1" customWidth="1"/>
    <col min="7" max="7" width="10.5703125" bestFit="1" customWidth="1"/>
  </cols>
  <sheetData>
    <row r="1" spans="1:11" x14ac:dyDescent="0.25">
      <c r="A1" t="s">
        <v>212</v>
      </c>
    </row>
    <row r="2" spans="1:11" ht="21" x14ac:dyDescent="0.35">
      <c r="A2" s="13" t="s">
        <v>211</v>
      </c>
    </row>
    <row r="3" spans="1:11" x14ac:dyDescent="0.25">
      <c r="A3" s="62"/>
    </row>
    <row r="4" spans="1:11" ht="21" x14ac:dyDescent="0.35">
      <c r="A4" s="13" t="s">
        <v>110</v>
      </c>
    </row>
    <row r="5" spans="1:11" ht="15.75" x14ac:dyDescent="0.25">
      <c r="A5" s="17" t="s">
        <v>43</v>
      </c>
      <c r="B5" s="18" t="s">
        <v>91</v>
      </c>
      <c r="D5" s="110" t="s">
        <v>171</v>
      </c>
      <c r="E5" s="110"/>
      <c r="F5" s="110"/>
      <c r="G5" s="110"/>
      <c r="H5" s="110"/>
      <c r="I5" s="110"/>
      <c r="J5" s="110"/>
      <c r="K5" s="110"/>
    </row>
    <row r="6" spans="1:11" x14ac:dyDescent="0.25">
      <c r="A6" s="24" t="s">
        <v>44</v>
      </c>
      <c r="B6" s="75">
        <v>16</v>
      </c>
    </row>
    <row r="7" spans="1:11" x14ac:dyDescent="0.25">
      <c r="A7" s="37" t="s">
        <v>45</v>
      </c>
      <c r="B7" s="67">
        <v>18</v>
      </c>
      <c r="D7" s="110" t="s">
        <v>170</v>
      </c>
      <c r="E7" s="110"/>
      <c r="F7" s="110"/>
      <c r="G7" s="110"/>
      <c r="H7" s="110"/>
      <c r="I7" s="110"/>
      <c r="J7" s="110"/>
      <c r="K7" s="110"/>
    </row>
    <row r="8" spans="1:11" x14ac:dyDescent="0.25">
      <c r="A8" s="32" t="s">
        <v>46</v>
      </c>
      <c r="B8" s="70">
        <v>4</v>
      </c>
    </row>
    <row r="10" spans="1:11" x14ac:dyDescent="0.25">
      <c r="A10" s="25" t="s">
        <v>107</v>
      </c>
      <c r="B10" s="26">
        <f>(('Base numbers'!B13/'Base numbers'!B53)*B6)+(('Base numbers'!B24/'Base numbers'!B53)*B7)+(('Base numbers'!B30/'Base numbers'!B53)*B8)</f>
        <v>1247.9076996652316</v>
      </c>
    </row>
    <row r="12" spans="1:11" ht="15.75" x14ac:dyDescent="0.25">
      <c r="A12" s="17" t="s">
        <v>47</v>
      </c>
      <c r="B12" s="18" t="s">
        <v>91</v>
      </c>
      <c r="D12" s="110" t="s">
        <v>171</v>
      </c>
      <c r="E12" s="110"/>
      <c r="F12" s="110"/>
      <c r="G12" s="110"/>
      <c r="H12" s="110"/>
    </row>
    <row r="13" spans="1:11" x14ac:dyDescent="0.25">
      <c r="A13" s="24" t="s">
        <v>44</v>
      </c>
      <c r="B13" s="75">
        <v>80</v>
      </c>
      <c r="G13" s="1"/>
    </row>
    <row r="14" spans="1:11" x14ac:dyDescent="0.25">
      <c r="A14" s="37" t="s">
        <v>48</v>
      </c>
      <c r="B14" s="67">
        <v>80</v>
      </c>
      <c r="G14" s="1"/>
    </row>
    <row r="15" spans="1:11" x14ac:dyDescent="0.25">
      <c r="A15" s="32" t="s">
        <v>46</v>
      </c>
      <c r="B15" s="70">
        <v>16</v>
      </c>
    </row>
    <row r="16" spans="1:11" x14ac:dyDescent="0.25">
      <c r="B16" s="9"/>
    </row>
    <row r="17" spans="1:10" x14ac:dyDescent="0.25">
      <c r="A17" s="25" t="s">
        <v>108</v>
      </c>
      <c r="B17" s="26">
        <f>(('Base numbers'!B13/'Base numbers'!B53)*B13)+(('Base numbers'!B45/'Base numbers'!B53)*B14)+(('Base numbers'!B30/'Base numbers'!B53)*B15)</f>
        <v>5738.8809182209461</v>
      </c>
    </row>
    <row r="19" spans="1:10" ht="15.75" x14ac:dyDescent="0.25">
      <c r="A19" s="17" t="s">
        <v>193</v>
      </c>
    </row>
    <row r="20" spans="1:10" x14ac:dyDescent="0.25">
      <c r="A20" s="24" t="s">
        <v>96</v>
      </c>
      <c r="B20" s="74">
        <f>(((('Base numbers'!B13/('Base numbers'!B53)*40)*75%)*4)+((('Base numbers'!B13/('Base numbers'!B53)*40)*50%)*8)+((('Base numbers'!B13/('Base numbers'!B53)*40)*25%)*8))</f>
        <v>10760.401721664275</v>
      </c>
      <c r="D20" s="110" t="s">
        <v>104</v>
      </c>
      <c r="E20" s="110"/>
      <c r="F20" s="110"/>
      <c r="G20" s="110"/>
      <c r="H20" s="110"/>
      <c r="I20" s="110"/>
      <c r="J20" s="110"/>
    </row>
    <row r="21" spans="1:10" s="1" customFormat="1" x14ac:dyDescent="0.25">
      <c r="A21" s="32" t="s">
        <v>49</v>
      </c>
      <c r="B21" s="31">
        <f>(((('Base numbers'!B35/('Base numbers'!B53)*40)*15%)*4)+((('Base numbers'!B35/('Base numbers'!B53)*40)*10%)*4)+((('Base numbers'!B35/('Base numbers'!B53)*40)*5%)*12))</f>
        <v>1673.8402678144425</v>
      </c>
      <c r="C21"/>
      <c r="D21" s="110" t="s">
        <v>103</v>
      </c>
      <c r="E21" s="110"/>
      <c r="F21" s="110"/>
      <c r="G21" s="110"/>
      <c r="H21" s="110"/>
      <c r="I21" s="110"/>
      <c r="J21" s="110"/>
    </row>
    <row r="22" spans="1:10" x14ac:dyDescent="0.25">
      <c r="A22" s="32" t="s">
        <v>46</v>
      </c>
      <c r="B22" s="31">
        <f>(((('Base numbers'!B30/('Base numbers'!B53)*40)*10%)*8)+((('Base numbers'!B30/('Base numbers'!B53)*40)*5%)*12))</f>
        <v>2301.5303682448584</v>
      </c>
      <c r="D22" s="110" t="s">
        <v>105</v>
      </c>
      <c r="E22" s="110"/>
      <c r="F22" s="110"/>
      <c r="G22" s="110"/>
      <c r="H22" s="110"/>
      <c r="I22" s="110"/>
      <c r="J22" s="110"/>
    </row>
    <row r="23" spans="1:10" x14ac:dyDescent="0.25">
      <c r="A23" s="25" t="s">
        <v>106</v>
      </c>
      <c r="B23" s="26">
        <f>SUM(B20:B22)</f>
        <v>14735.772357723577</v>
      </c>
    </row>
    <row r="25" spans="1:10" ht="18.75" x14ac:dyDescent="0.3">
      <c r="A25" s="82" t="s">
        <v>194</v>
      </c>
      <c r="B25" s="83">
        <f>B10+B17+B23</f>
        <v>21722.560975609755</v>
      </c>
    </row>
  </sheetData>
  <sheetProtection algorithmName="SHA-512" hashValue="JSDVxKAJfoB/YFPpCxO5DTZh6NLHyyWsSzis7t2gAegni4sRzJjUZQuViO05A8RAKV+2Kw9ANhIAprs1jG768g==" saltValue="jhkEo3xE1CBZrpDAJKBS+w==" spinCount="100000" sheet="1" objects="1" scenarios="1" selectLockedCells="1"/>
  <mergeCells count="6">
    <mergeCell ref="D22:J22"/>
    <mergeCell ref="D5:K5"/>
    <mergeCell ref="D7:K7"/>
    <mergeCell ref="D12:H12"/>
    <mergeCell ref="D20:J20"/>
    <mergeCell ref="D21:J2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5"/>
  <sheetViews>
    <sheetView workbookViewId="0">
      <selection activeCell="A3" sqref="A3"/>
    </sheetView>
  </sheetViews>
  <sheetFormatPr defaultRowHeight="15" x14ac:dyDescent="0.25"/>
  <cols>
    <col min="1" max="1" width="29.7109375" customWidth="1"/>
    <col min="2" max="2" width="16" style="1" bestFit="1" customWidth="1"/>
  </cols>
  <sheetData>
    <row r="1" spans="1:21" x14ac:dyDescent="0.25">
      <c r="A1" t="s">
        <v>212</v>
      </c>
    </row>
    <row r="2" spans="1:21" ht="21" x14ac:dyDescent="0.35">
      <c r="A2" s="13" t="s">
        <v>206</v>
      </c>
    </row>
    <row r="3" spans="1:21" x14ac:dyDescent="0.25">
      <c r="A3" s="62"/>
    </row>
    <row r="4" spans="1:21" ht="18.75" x14ac:dyDescent="0.3">
      <c r="A4" s="12" t="s">
        <v>118</v>
      </c>
    </row>
    <row r="5" spans="1:21" ht="18.75" x14ac:dyDescent="0.3">
      <c r="A5" s="12"/>
    </row>
    <row r="6" spans="1:21" ht="15.75" x14ac:dyDescent="0.25">
      <c r="A6" s="47" t="s">
        <v>121</v>
      </c>
      <c r="B6" s="50"/>
      <c r="D6" s="110" t="s">
        <v>169</v>
      </c>
      <c r="E6" s="110"/>
      <c r="F6" s="110"/>
      <c r="G6" s="110"/>
      <c r="H6" s="110"/>
      <c r="I6" s="110"/>
      <c r="J6" s="110"/>
      <c r="K6" s="110"/>
      <c r="L6" s="110"/>
      <c r="M6" s="110"/>
    </row>
    <row r="7" spans="1:21" x14ac:dyDescent="0.25">
      <c r="A7" s="49" t="s">
        <v>119</v>
      </c>
      <c r="B7" s="61">
        <v>5</v>
      </c>
      <c r="D7" s="110" t="s">
        <v>122</v>
      </c>
      <c r="E7" s="110"/>
      <c r="F7" s="110"/>
      <c r="G7" s="110"/>
      <c r="H7" s="110"/>
      <c r="I7" s="110"/>
      <c r="J7" s="110"/>
      <c r="K7" s="110"/>
      <c r="L7" s="110"/>
      <c r="M7" s="110"/>
    </row>
    <row r="8" spans="1:21" x14ac:dyDescent="0.25">
      <c r="A8" s="52" t="s">
        <v>120</v>
      </c>
      <c r="B8" s="53">
        <f>(B7*'Base numbers'!B35)*15%</f>
        <v>37661.406025824959</v>
      </c>
      <c r="D8" s="110" t="s">
        <v>173</v>
      </c>
      <c r="E8" s="110"/>
      <c r="F8" s="110"/>
      <c r="G8" s="110"/>
      <c r="H8" s="110"/>
      <c r="I8" s="110"/>
      <c r="J8" s="110"/>
      <c r="K8" s="110"/>
      <c r="L8" s="110"/>
      <c r="M8" s="110"/>
      <c r="N8" s="110"/>
      <c r="O8" s="110"/>
      <c r="P8" s="110"/>
      <c r="Q8" s="110"/>
      <c r="R8" s="110"/>
      <c r="S8" s="110"/>
      <c r="T8" s="110"/>
      <c r="U8" s="110"/>
    </row>
    <row r="9" spans="1:21" x14ac:dyDescent="0.25">
      <c r="A9" s="4"/>
      <c r="B9" s="14"/>
    </row>
    <row r="10" spans="1:21" x14ac:dyDescent="0.25">
      <c r="A10" s="52" t="s">
        <v>125</v>
      </c>
      <c r="B10" s="73">
        <v>0</v>
      </c>
      <c r="D10" s="110" t="s">
        <v>209</v>
      </c>
      <c r="E10" s="110"/>
      <c r="F10" s="110"/>
      <c r="G10" s="110"/>
      <c r="H10" s="110"/>
      <c r="I10" s="110"/>
      <c r="J10" s="110"/>
      <c r="K10" s="110"/>
      <c r="L10" s="110"/>
      <c r="M10" s="110"/>
      <c r="N10" s="110"/>
      <c r="O10" s="110"/>
      <c r="P10" s="110"/>
    </row>
    <row r="11" spans="1:21" x14ac:dyDescent="0.25">
      <c r="A11" s="4"/>
      <c r="B11" s="100"/>
      <c r="D11" s="110" t="s">
        <v>210</v>
      </c>
      <c r="E11" s="110"/>
      <c r="F11" s="110"/>
      <c r="G11" s="110"/>
      <c r="H11" s="110"/>
      <c r="I11" s="110"/>
      <c r="J11" s="110"/>
      <c r="K11" s="110"/>
      <c r="L11" s="110"/>
      <c r="M11" s="110"/>
      <c r="N11" s="110"/>
      <c r="O11" s="110"/>
      <c r="P11" s="110"/>
    </row>
    <row r="12" spans="1:21" x14ac:dyDescent="0.25">
      <c r="A12" s="52" t="s">
        <v>207</v>
      </c>
      <c r="B12" s="55">
        <v>0</v>
      </c>
      <c r="D12" s="110" t="s">
        <v>208</v>
      </c>
      <c r="E12" s="110"/>
      <c r="F12" s="110"/>
      <c r="G12" s="110"/>
      <c r="H12" s="110"/>
      <c r="I12" s="110"/>
      <c r="J12" s="110"/>
      <c r="K12" s="110"/>
      <c r="L12" s="110"/>
      <c r="M12" s="110"/>
      <c r="N12" s="110"/>
      <c r="O12" s="110"/>
      <c r="P12" s="110"/>
    </row>
    <row r="13" spans="1:21" x14ac:dyDescent="0.25">
      <c r="D13" s="110" t="s">
        <v>123</v>
      </c>
      <c r="E13" s="110"/>
      <c r="F13" s="110"/>
      <c r="G13" s="110"/>
      <c r="H13" s="110"/>
      <c r="I13" s="110"/>
      <c r="J13" s="110"/>
      <c r="K13" s="110"/>
      <c r="L13" s="110"/>
      <c r="M13" s="110"/>
      <c r="N13" s="110"/>
      <c r="O13" s="110"/>
      <c r="P13" s="110"/>
    </row>
    <row r="15" spans="1:21" ht="18.75" x14ac:dyDescent="0.3">
      <c r="A15" s="80" t="s">
        <v>126</v>
      </c>
      <c r="B15" s="81">
        <f>B8+B12</f>
        <v>37661.406025824959</v>
      </c>
    </row>
  </sheetData>
  <sheetProtection algorithmName="SHA-512" hashValue="2UvaTOe5fGQI7CrIMrRMScHC2OD5RuGeMt2ZpR/3CTJSzdaQ6eJohg+AOYHcYgWMMATNxHbRj/6Pp6oQEIEjDw==" saltValue="8iQNfvqp2D+VwjTKeAlZCA==" spinCount="100000" sheet="1" objects="1" scenarios="1" selectLockedCells="1"/>
  <mergeCells count="7">
    <mergeCell ref="D13:P13"/>
    <mergeCell ref="D6:M6"/>
    <mergeCell ref="D7:M7"/>
    <mergeCell ref="D8:U8"/>
    <mergeCell ref="D10:P10"/>
    <mergeCell ref="D11:P11"/>
    <mergeCell ref="D12:P12"/>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
  <sheetViews>
    <sheetView workbookViewId="0">
      <selection activeCell="A9" sqref="A9"/>
    </sheetView>
  </sheetViews>
  <sheetFormatPr defaultRowHeight="15" x14ac:dyDescent="0.25"/>
  <cols>
    <col min="1" max="1" width="21" customWidth="1"/>
    <col min="2" max="2" width="17.5703125" bestFit="1" customWidth="1"/>
  </cols>
  <sheetData>
    <row r="1" spans="1:10" x14ac:dyDescent="0.25">
      <c r="A1" s="109" t="s">
        <v>221</v>
      </c>
      <c r="B1" s="109"/>
      <c r="C1" s="109"/>
      <c r="D1" s="109"/>
    </row>
    <row r="2" spans="1:10" x14ac:dyDescent="0.25">
      <c r="A2" s="109"/>
      <c r="B2" s="109"/>
      <c r="C2" s="109"/>
      <c r="D2" s="109"/>
    </row>
    <row r="3" spans="1:10" x14ac:dyDescent="0.25">
      <c r="A3" s="109"/>
      <c r="B3" s="109"/>
      <c r="C3" s="109"/>
      <c r="D3" s="109"/>
    </row>
    <row r="4" spans="1:10" x14ac:dyDescent="0.25">
      <c r="A4" s="109"/>
      <c r="B4" s="109"/>
      <c r="C4" s="109"/>
      <c r="D4" s="109"/>
    </row>
    <row r="5" spans="1:10" x14ac:dyDescent="0.25">
      <c r="A5" s="109"/>
      <c r="B5" s="109"/>
      <c r="C5" s="109"/>
      <c r="D5" s="109"/>
    </row>
    <row r="6" spans="1:10" x14ac:dyDescent="0.25">
      <c r="A6" s="109"/>
      <c r="B6" s="109"/>
      <c r="C6" s="109"/>
      <c r="D6" s="109"/>
    </row>
    <row r="8" spans="1:10" ht="21" x14ac:dyDescent="0.35">
      <c r="A8" s="13" t="s">
        <v>172</v>
      </c>
      <c r="J8" s="106"/>
    </row>
    <row r="9" spans="1:10" ht="16.5" customHeight="1" x14ac:dyDescent="0.35">
      <c r="A9" s="101"/>
    </row>
    <row r="10" spans="1:10" ht="15.75" x14ac:dyDescent="0.25">
      <c r="A10" s="84" t="s">
        <v>109</v>
      </c>
      <c r="B10" s="85">
        <f>'Impact costs'!B44</f>
        <v>71965.92539454806</v>
      </c>
    </row>
    <row r="11" spans="1:10" ht="15.75" x14ac:dyDescent="0.25">
      <c r="A11" s="86" t="s">
        <v>67</v>
      </c>
      <c r="B11" s="87">
        <f>'Recruiting &amp; hiring'!B55</f>
        <v>18164.143770923005</v>
      </c>
    </row>
    <row r="12" spans="1:10" ht="15.75" x14ac:dyDescent="0.25">
      <c r="A12" s="88" t="s">
        <v>124</v>
      </c>
      <c r="B12" s="89">
        <f>'Failure costs'!B15</f>
        <v>37661.406025824959</v>
      </c>
    </row>
    <row r="13" spans="1:10" ht="15.75" x14ac:dyDescent="0.25">
      <c r="A13" s="90" t="s">
        <v>110</v>
      </c>
      <c r="B13" s="91">
        <f>'Training &amp; ramp-up'!B25</f>
        <v>21722.560975609755</v>
      </c>
    </row>
    <row r="14" spans="1:10" ht="18.75" x14ac:dyDescent="0.3">
      <c r="A14" s="92" t="s">
        <v>111</v>
      </c>
      <c r="B14" s="93">
        <f>SUM(B10:B13)</f>
        <v>149514.03616690577</v>
      </c>
    </row>
  </sheetData>
  <sheetProtection algorithmName="SHA-512" hashValue="zSq1rrYkj7v5d5oOInfByiPkaZFCphb0RkkgcpyXV3EhmhtJdKee5aIfEckh701rfYdFmH0qS+yn7OqKdJAKOQ==" saltValue="k76DFOPIvcxfH+6V0Cte3Q==" spinCount="100000" sheet="1" objects="1" scenarios="1" selectLockedCells="1"/>
  <mergeCells count="1">
    <mergeCell ref="A1: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About</vt:lpstr>
      <vt:lpstr>Base numbers</vt:lpstr>
      <vt:lpstr>Impact costs</vt:lpstr>
      <vt:lpstr>Recruiting &amp; hiring</vt:lpstr>
      <vt:lpstr>Training &amp; ramp-up</vt:lpstr>
      <vt:lpstr>Failure costs</vt:lpstr>
      <vt:lpstr>Total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L. Judson</dc:creator>
  <cp:lastModifiedBy>Grace Judson</cp:lastModifiedBy>
  <dcterms:created xsi:type="dcterms:W3CDTF">2019-01-16T19:35:30Z</dcterms:created>
  <dcterms:modified xsi:type="dcterms:W3CDTF">2023-06-15T19:41:32Z</dcterms:modified>
</cp:coreProperties>
</file>